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enig\Desktop\"/>
    </mc:Choice>
  </mc:AlternateContent>
  <xr:revisionPtr revIDLastSave="0" documentId="13_ncr:1_{1002769B-9BDB-4B2D-8D34-5B7BDE2413A9}" xr6:coauthVersionLast="47" xr6:coauthVersionMax="47" xr10:uidLastSave="{00000000-0000-0000-0000-000000000000}"/>
  <bookViews>
    <workbookView xWindow="-93" yWindow="-93" windowWidth="25786" windowHeight="13866" xr2:uid="{00000000-000D-0000-FFFF-FFFF00000000}"/>
  </bookViews>
  <sheets>
    <sheet name="Tabelle1" sheetId="1" r:id="rId1"/>
  </sheets>
  <calcPr calcId="191029"/>
  <extLst>
    <ext xmlns:x14="http://schemas.microsoft.com/office/spreadsheetml/2009/9/main" uri="{79F54976-1DA5-4618-B147-4CDE4B953A38}">
      <x14:workbookPr defaultImageDpi="150" discardImageEditData="1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70" i="1" l="1"/>
  <c r="D170" i="1" s="1"/>
  <c r="E167" i="1"/>
  <c r="F167" i="1" s="1"/>
  <c r="C164" i="1"/>
  <c r="C167" i="1" s="1"/>
  <c r="AE157" i="1"/>
  <c r="AE158" i="1" s="1"/>
  <c r="E164" i="1" s="1"/>
  <c r="F164" i="1" s="1"/>
  <c r="D164" i="1" s="1"/>
  <c r="D167" i="1" s="1"/>
  <c r="E170" i="1" l="1"/>
  <c r="F170" i="1" s="1"/>
  <c r="K13" i="1"/>
  <c r="K14" i="1"/>
  <c r="K15" i="1"/>
  <c r="K12" i="1"/>
  <c r="D53" i="1"/>
  <c r="C53" i="1"/>
  <c r="N40" i="1"/>
  <c r="N37" i="1"/>
  <c r="N38" i="1"/>
  <c r="N39" i="1"/>
  <c r="N36" i="1"/>
  <c r="P13" i="1"/>
  <c r="P14" i="1"/>
  <c r="P15" i="1"/>
  <c r="P16" i="1"/>
  <c r="P17" i="1"/>
  <c r="P18" i="1"/>
  <c r="P19" i="1"/>
  <c r="P12" i="1"/>
  <c r="O19" i="1"/>
  <c r="O18" i="1"/>
  <c r="O13" i="1"/>
  <c r="O14" i="1"/>
  <c r="O15" i="1"/>
  <c r="O16" i="1"/>
  <c r="O17" i="1"/>
  <c r="O12" i="1"/>
  <c r="N26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7" i="1"/>
  <c r="N28" i="1"/>
  <c r="N29" i="1"/>
  <c r="N30" i="1"/>
  <c r="N31" i="1"/>
  <c r="N32" i="1"/>
  <c r="N33" i="1"/>
  <c r="N34" i="1"/>
  <c r="N12" i="1"/>
  <c r="F50" i="1"/>
  <c r="I164" i="1" l="1"/>
  <c r="I165" i="1" s="1"/>
  <c r="E50" i="1"/>
  <c r="E53" i="1"/>
  <c r="F53" i="1" s="1"/>
  <c r="D50" i="1"/>
  <c r="C50" i="1"/>
  <c r="N43" i="1" l="1"/>
  <c r="H51" i="1" s="1"/>
  <c r="F56" i="1" s="1"/>
  <c r="N45" i="1"/>
  <c r="C56" i="1"/>
  <c r="D56" i="1" s="1"/>
  <c r="E56" i="1" l="1"/>
  <c r="Q138" i="1" l="1"/>
  <c r="T112" i="1"/>
  <c r="T113" i="1"/>
  <c r="T111" i="1"/>
  <c r="R112" i="1"/>
  <c r="R113" i="1"/>
  <c r="R111" i="1"/>
  <c r="P111" i="1"/>
  <c r="N126" i="1"/>
  <c r="N127" i="1"/>
  <c r="N128" i="1"/>
  <c r="N129" i="1"/>
  <c r="N125" i="1"/>
  <c r="O69" i="1"/>
  <c r="F134" i="1"/>
  <c r="N123" i="1"/>
  <c r="N122" i="1"/>
  <c r="N121" i="1"/>
  <c r="N120" i="1"/>
  <c r="N119" i="1"/>
  <c r="N115" i="1"/>
  <c r="N114" i="1"/>
  <c r="P113" i="1"/>
  <c r="N113" i="1"/>
  <c r="P112" i="1"/>
  <c r="N112" i="1"/>
  <c r="N111" i="1"/>
  <c r="F96" i="1"/>
  <c r="N78" i="1"/>
  <c r="M78" i="1"/>
  <c r="N77" i="1"/>
  <c r="M77" i="1"/>
  <c r="N76" i="1"/>
  <c r="M76" i="1"/>
  <c r="N75" i="1"/>
  <c r="M75" i="1"/>
  <c r="N74" i="1"/>
  <c r="M74" i="1"/>
  <c r="P73" i="1"/>
  <c r="O73" i="1"/>
  <c r="N73" i="1"/>
  <c r="M73" i="1"/>
  <c r="P72" i="1"/>
  <c r="O72" i="1"/>
  <c r="N72" i="1"/>
  <c r="M72" i="1"/>
  <c r="P71" i="1"/>
  <c r="O71" i="1"/>
  <c r="N71" i="1"/>
  <c r="M71" i="1"/>
  <c r="P70" i="1"/>
  <c r="O70" i="1"/>
  <c r="N70" i="1"/>
  <c r="M70" i="1"/>
  <c r="P69" i="1"/>
  <c r="N69" i="1"/>
  <c r="M69" i="1"/>
  <c r="C137" i="1" l="1"/>
  <c r="D137" i="1" s="1"/>
  <c r="T114" i="1"/>
  <c r="P114" i="1"/>
  <c r="R114" i="1"/>
  <c r="D96" i="1"/>
  <c r="C99" i="1"/>
  <c r="D99" i="1" s="1"/>
  <c r="E134" i="1"/>
  <c r="C96" i="1"/>
  <c r="E96" i="1"/>
  <c r="D134" i="1"/>
  <c r="C134" i="1"/>
  <c r="E99" i="1" l="1"/>
  <c r="F99" i="1"/>
  <c r="Q134" i="1"/>
  <c r="F137" i="1" s="1"/>
  <c r="H93" i="1"/>
  <c r="Q129" i="1"/>
  <c r="E137" i="1"/>
  <c r="Q126" i="1"/>
  <c r="H13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Wenig</author>
  </authors>
  <commentList>
    <comment ref="F14" authorId="0" shapeId="0" xr:uid="{250104A3-F45B-45FB-BDA6-72A621FC37E6}">
      <text>
        <r>
          <rPr>
            <b/>
            <sz val="9"/>
            <color indexed="81"/>
            <rFont val="Segoe UI"/>
            <family val="2"/>
          </rPr>
          <t>Robert Wenig:</t>
        </r>
        <r>
          <rPr>
            <sz val="9"/>
            <color indexed="81"/>
            <rFont val="Segoe UI"/>
            <family val="2"/>
          </rPr>
          <t xml:space="preserve">
20% jährliche Abschreibung bedeutet, das jedes Jahr 20% des Gesamteinkaufsjahres auf den Honigpreis umgelegt werden. Macht man das 5Jahre lang, wird der Gesamtpreis über den Honigverkauf abbezahlt (Amortisiert)</t>
        </r>
      </text>
    </comment>
    <comment ref="E39" authorId="0" shapeId="0" xr:uid="{27BBBB66-D5CF-4E67-A9B2-23EEB7726BD0}">
      <text>
        <r>
          <rPr>
            <b/>
            <sz val="9"/>
            <color indexed="81"/>
            <rFont val="Segoe UI"/>
            <family val="2"/>
          </rPr>
          <t>Robert Wenig:</t>
        </r>
        <r>
          <rPr>
            <sz val="9"/>
            <color indexed="81"/>
            <rFont val="Segoe UI"/>
            <family val="2"/>
          </rPr>
          <t xml:space="preserve">
Gebinde hat 28 kg (Einheiten)</t>
        </r>
      </text>
    </comment>
    <comment ref="F39" authorId="0" shapeId="0" xr:uid="{5E794993-70A0-449E-9D36-A37DF1D177C8}">
      <text>
        <r>
          <rPr>
            <b/>
            <sz val="9"/>
            <color indexed="81"/>
            <rFont val="Segoe UI"/>
            <family val="2"/>
          </rPr>
          <t>Robert Wenig:</t>
        </r>
        <r>
          <rPr>
            <sz val="9"/>
            <color indexed="81"/>
            <rFont val="Segoe UI"/>
            <family val="2"/>
          </rPr>
          <t xml:space="preserve">
Pro Volk werden 15 kg (Einheiten) eingefüttert.</t>
        </r>
      </text>
    </comment>
    <comment ref="J40" authorId="0" shapeId="0" xr:uid="{9AD0026D-3487-457B-B7B7-F127933588FC}">
      <text>
        <r>
          <rPr>
            <b/>
            <sz val="9"/>
            <color indexed="81"/>
            <rFont val="Segoe UI"/>
            <family val="2"/>
          </rPr>
          <t>Robert Wenig:</t>
        </r>
        <r>
          <rPr>
            <sz val="9"/>
            <color indexed="81"/>
            <rFont val="Segoe UI"/>
            <family val="2"/>
          </rPr>
          <t xml:space="preserve">
1 Arbeiter ist man selber, jeder weitere Arbeiter wird addiert.</t>
        </r>
      </text>
    </comment>
    <comment ref="J112" authorId="0" shapeId="0" xr:uid="{C3D05FCA-0B9F-4FAB-8FE5-8B49F5D73707}">
      <text>
        <r>
          <rPr>
            <b/>
            <sz val="9"/>
            <color indexed="81"/>
            <rFont val="Segoe UI"/>
            <family val="2"/>
          </rPr>
          <t>Robert Wenig:</t>
        </r>
        <r>
          <rPr>
            <sz val="9"/>
            <color indexed="81"/>
            <rFont val="Segoe UI"/>
            <family val="2"/>
          </rPr>
          <t xml:space="preserve">
Beispiel: Mit 10 gegossenen Kerzen soll die Kerzenform abbezahlt werden.</t>
        </r>
      </text>
    </comment>
  </commentList>
</comments>
</file>

<file path=xl/sharedStrings.xml><?xml version="1.0" encoding="utf-8"?>
<sst xmlns="http://schemas.openxmlformats.org/spreadsheetml/2006/main" count="261" uniqueCount="196">
  <si>
    <t>Kosten pro Kaufmenge</t>
  </si>
  <si>
    <t>Eingesetzte Menge</t>
  </si>
  <si>
    <t>Gekaufte Menge (g)</t>
  </si>
  <si>
    <t>Komponente 2 (g)</t>
  </si>
  <si>
    <t>Komponente 3 (g)</t>
  </si>
  <si>
    <t>Komponente 4 (g)</t>
  </si>
  <si>
    <t>Komponente 5 (g)</t>
  </si>
  <si>
    <t>Komponente 6 (g)</t>
  </si>
  <si>
    <t>Komponente 7 (g)</t>
  </si>
  <si>
    <t>Komponente 8 (g)</t>
  </si>
  <si>
    <t>Komponente 9 (g)</t>
  </si>
  <si>
    <t>Komponente 10 (g)</t>
  </si>
  <si>
    <t>Gekaufte Menge (ml)</t>
  </si>
  <si>
    <t>Komponente 3 (ml)</t>
  </si>
  <si>
    <t>Komponente 4 (ml)</t>
  </si>
  <si>
    <t>Komponente 5 (ml)</t>
  </si>
  <si>
    <t>Komponente 6 (ml)</t>
  </si>
  <si>
    <t>Komponente 7 (ml)</t>
  </si>
  <si>
    <t>Komponente 8 (ml)</t>
  </si>
  <si>
    <t>Komponente 9 (ml)</t>
  </si>
  <si>
    <t>Feststoffe</t>
  </si>
  <si>
    <t>Flüssigstoffe</t>
  </si>
  <si>
    <t>Komponente 10 (ml)</t>
  </si>
  <si>
    <t>Gekaufte Menge (Stück)</t>
  </si>
  <si>
    <t>Arbeitsstunden</t>
  </si>
  <si>
    <t>Stundensatz</t>
  </si>
  <si>
    <t>Erstellte Einheiten</t>
  </si>
  <si>
    <t>Anzahl Personen</t>
  </si>
  <si>
    <t>Arbeitszeit gesamt in min.</t>
  </si>
  <si>
    <t>Verkaufspreis pro Stück</t>
  </si>
  <si>
    <t>Kosten Feststoffe</t>
  </si>
  <si>
    <t>Kosten Flüssigstoffe</t>
  </si>
  <si>
    <t>Kosten Verpackung</t>
  </si>
  <si>
    <t>Arbeitskosten</t>
  </si>
  <si>
    <t>Komponente 2 (Stück)</t>
  </si>
  <si>
    <t>Komponente 3 (Stück)</t>
  </si>
  <si>
    <t>Komponente 4 (Stück)</t>
  </si>
  <si>
    <t>Komponente 5 (Stück)</t>
  </si>
  <si>
    <t>Verpackung/ Material</t>
  </si>
  <si>
    <t>Maschinen</t>
  </si>
  <si>
    <t>Maschine 2</t>
  </si>
  <si>
    <t>Maschine 3</t>
  </si>
  <si>
    <t>Maschine 4</t>
  </si>
  <si>
    <t>Maschine 5</t>
  </si>
  <si>
    <t>Stromkosten</t>
  </si>
  <si>
    <t>Leistung in Watt</t>
  </si>
  <si>
    <t>Gesamtlaufzeit der Maschine in Minuten</t>
  </si>
  <si>
    <t>Stromverbrauch</t>
  </si>
  <si>
    <t>Seifen/ Creme und Cosmetica</t>
  </si>
  <si>
    <t>Gewinn auf Arbeit</t>
  </si>
  <si>
    <t xml:space="preserve">Gewinn auf Material </t>
  </si>
  <si>
    <t>Rohkosten gesamt</t>
  </si>
  <si>
    <t>Kerzen</t>
  </si>
  <si>
    <t>Docht</t>
  </si>
  <si>
    <t>Gekaufte Dochtmenge in cm</t>
  </si>
  <si>
    <t>Amortisation Kerzenform</t>
  </si>
  <si>
    <t>Anschaffungskosten Form</t>
  </si>
  <si>
    <t>Docht 1</t>
  </si>
  <si>
    <t>Docht 2</t>
  </si>
  <si>
    <t>Docht 3</t>
  </si>
  <si>
    <t>Docht 4</t>
  </si>
  <si>
    <t>Docht 5</t>
  </si>
  <si>
    <t>Form 2</t>
  </si>
  <si>
    <t>Form 3</t>
  </si>
  <si>
    <t>Dochtkosten</t>
  </si>
  <si>
    <t>Gegossene Kerzen</t>
  </si>
  <si>
    <t>Verkaufspreis pro Kerze</t>
  </si>
  <si>
    <t>Amortisationsart</t>
  </si>
  <si>
    <t>Amortisation über Gesamtstückzahl</t>
  </si>
  <si>
    <t>Amortisation über manuelle Menge</t>
  </si>
  <si>
    <t>Bitte auswählen</t>
  </si>
  <si>
    <t>Amortisationsmenge manuell</t>
  </si>
  <si>
    <t>Gesammt Amort</t>
  </si>
  <si>
    <t>Manuelle Amort</t>
  </si>
  <si>
    <t>Amortisationkosten/ Kerze</t>
  </si>
  <si>
    <t>Gewinn gesamt</t>
  </si>
  <si>
    <t>Stromkosten pro kW/h</t>
  </si>
  <si>
    <t>Gewinn</t>
  </si>
  <si>
    <t>Stückzahlvergleich Amort</t>
  </si>
  <si>
    <r>
      <t xml:space="preserve">
</t>
    </r>
    <r>
      <rPr>
        <b/>
        <sz val="11"/>
        <color theme="1"/>
        <rFont val="Calibri"/>
        <family val="2"/>
        <scheme val="minor"/>
      </rPr>
      <t xml:space="preserve">O </t>
    </r>
    <r>
      <rPr>
        <sz val="11"/>
        <color theme="1"/>
        <rFont val="Calibri"/>
        <family val="2"/>
        <scheme val="minor"/>
      </rPr>
      <t xml:space="preserve"> Art Der Amortisation Wählen. 
</t>
    </r>
    <r>
      <rPr>
        <b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 xml:space="preserve">  Auf Gesamtstückzahl = Kerzenform abbezahlen.
</t>
    </r>
    <r>
      <rPr>
        <b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 xml:space="preserve">  Manuelle Menge = Gewinnorientiert (Auf neue Form sparen)
</t>
    </r>
    <r>
      <rPr>
        <b/>
        <sz val="11"/>
        <color theme="1"/>
        <rFont val="Calibri"/>
        <family val="2"/>
        <scheme val="minor"/>
      </rPr>
      <t xml:space="preserve">O </t>
    </r>
    <r>
      <rPr>
        <sz val="11"/>
        <color theme="1"/>
        <rFont val="Calibri"/>
        <family val="2"/>
        <scheme val="minor"/>
      </rPr>
      <t xml:space="preserve"> Manuelle Meng ist als Standart hinterlegt</t>
    </r>
  </si>
  <si>
    <t>Anzahl Bienenvölker:</t>
  </si>
  <si>
    <t>Erwartete Honigmenge / Volk:</t>
  </si>
  <si>
    <t>Arbeitszeit/ Volk:</t>
  </si>
  <si>
    <t>Kostenrechnung für ein Glas Honig</t>
  </si>
  <si>
    <t>Fixkosten</t>
  </si>
  <si>
    <t>Stückzahl</t>
  </si>
  <si>
    <t>Völkerführung</t>
  </si>
  <si>
    <t>Bienenfluchten</t>
  </si>
  <si>
    <t>Reservezarge pro Volk</t>
  </si>
  <si>
    <t>Futtergeschirr</t>
  </si>
  <si>
    <t>Blechdeckel</t>
  </si>
  <si>
    <t>Absperrgitter</t>
  </si>
  <si>
    <t>Honigschleuder</t>
  </si>
  <si>
    <t>Entdecklungsgeschirr</t>
  </si>
  <si>
    <t>-</t>
  </si>
  <si>
    <t>Honigsieb</t>
  </si>
  <si>
    <t>Abfülleimer</t>
  </si>
  <si>
    <t>Honeytherm</t>
  </si>
  <si>
    <t>Anschaffungskosten/ Stück</t>
  </si>
  <si>
    <t>Jährliche Verbrauchsgüter</t>
  </si>
  <si>
    <t>Menge Gebinde</t>
  </si>
  <si>
    <t>Behandlungsmittel (Ameisensäure)</t>
  </si>
  <si>
    <t>Behandlungsmittel (Oxalsäure)</t>
  </si>
  <si>
    <t>Anschaffungskosten Gebinde</t>
  </si>
  <si>
    <t>Bienenrahmen (ca 20/ Volk)</t>
  </si>
  <si>
    <t>Honiggläser (500g)</t>
  </si>
  <si>
    <t>Stichschutzanzug</t>
  </si>
  <si>
    <t>Rauchstoff</t>
  </si>
  <si>
    <t>Kosten</t>
  </si>
  <si>
    <t>Arbeiter</t>
  </si>
  <si>
    <t>Stundenlohn</t>
  </si>
  <si>
    <t>Anzahl Arbeiter</t>
  </si>
  <si>
    <t>Jährliche gebinde</t>
  </si>
  <si>
    <t>Jährliche verbrauch</t>
  </si>
  <si>
    <t>Erzeugungskosten gesamt</t>
  </si>
  <si>
    <t>Beitragskosten</t>
  </si>
  <si>
    <t>Erwartete Gläser Honig</t>
  </si>
  <si>
    <t>Erzeugungskosten/ Glas (500g)</t>
  </si>
  <si>
    <t>Mit Gewinn</t>
  </si>
  <si>
    <t>Ohne Gewinn</t>
  </si>
  <si>
    <t>Miete Bienenhaus/ Jahr</t>
  </si>
  <si>
    <t>Beiträge im Jahr</t>
  </si>
  <si>
    <t>Imkerwerkzeug (Smoker, Stockmeißel)</t>
  </si>
  <si>
    <t>Bienenfutter (28kg Karton z.B.)</t>
  </si>
  <si>
    <t>Entdecklungswachsschmelzer</t>
  </si>
  <si>
    <t>Honigrührer</t>
  </si>
  <si>
    <t>Preis für ein 500 g Glas Honig</t>
  </si>
  <si>
    <t>Honigeimer 12,5 kg</t>
  </si>
  <si>
    <t>Ätznatron</t>
  </si>
  <si>
    <t>Jährliche Abschreibung in % (AfA)</t>
  </si>
  <si>
    <t>Fahrkosten</t>
  </si>
  <si>
    <t>Kilometerpauschale</t>
  </si>
  <si>
    <t>Eingesetzte Menge/ Volk</t>
  </si>
  <si>
    <t>Verkaufstandgebühr/ Jahr</t>
  </si>
  <si>
    <t>Jährliche Gebindekosten/ Volk</t>
  </si>
  <si>
    <t>Jährliche Gebindekosten gesamt</t>
  </si>
  <si>
    <t>gefahrene Kilometer gesamt/ Jahr</t>
  </si>
  <si>
    <t>Mittelwände ( ca 20 pro Volk)</t>
  </si>
  <si>
    <t>Rechenhilfe (Richtwert)</t>
  </si>
  <si>
    <t>Honigernte/ Wachsgewinnung</t>
  </si>
  <si>
    <t>Mittelwandpresse</t>
  </si>
  <si>
    <t>Wachsschmelzer</t>
  </si>
  <si>
    <t>Dampswachsschmelzer</t>
  </si>
  <si>
    <t>Zusatzversicherungen/ Jahr</t>
  </si>
  <si>
    <t>Vereinsbeitrag/ Jahr</t>
  </si>
  <si>
    <t>Umsatz gesamt</t>
  </si>
  <si>
    <t>Notfütterung</t>
  </si>
  <si>
    <t>Gesamtlaufzeit der Maschine in Minuten/ Jahr</t>
  </si>
  <si>
    <t>Feststoffe/ Wachs</t>
  </si>
  <si>
    <t>Bienenwachstücher</t>
  </si>
  <si>
    <t>Verwendeter Stoff</t>
  </si>
  <si>
    <t>Arbeitsaufwand</t>
  </si>
  <si>
    <t>Stoffbreite des gekauften Stoffes in cm</t>
  </si>
  <si>
    <t>Arbeitszeit pro Tuch in Minuten</t>
  </si>
  <si>
    <t>Kosten des Stoffes pro m²</t>
  </si>
  <si>
    <t>Stundenlohn in Euro</t>
  </si>
  <si>
    <t>Größe der Bienenwachstücher</t>
  </si>
  <si>
    <t>Energie</t>
  </si>
  <si>
    <t>Länge in cm</t>
  </si>
  <si>
    <t>Leistung Heizgerät in KW</t>
  </si>
  <si>
    <t>Breite in cm</t>
  </si>
  <si>
    <t>Stromkosten Pro KW/h</t>
  </si>
  <si>
    <t>Bienenwachs</t>
  </si>
  <si>
    <t>Gewinn in %</t>
  </si>
  <si>
    <t>tücher pro reihe</t>
  </si>
  <si>
    <t>Menge Wachs pro m² Tuch</t>
  </si>
  <si>
    <t>Reihen nach unten</t>
  </si>
  <si>
    <t>Kosten Wachs pro Kilo</t>
  </si>
  <si>
    <t>Anzahl hergestellte Tücher</t>
  </si>
  <si>
    <t>Infofelder</t>
  </si>
  <si>
    <t>Verkaufspreis pro Tuch</t>
  </si>
  <si>
    <t>Fläche Tücher in m²</t>
  </si>
  <si>
    <t xml:space="preserve">Fläche Verschnitt </t>
  </si>
  <si>
    <t>Gesamtlänge Stoff in m</t>
  </si>
  <si>
    <t>Gesamtfläche Stoff in m²</t>
  </si>
  <si>
    <t>Istpreis</t>
  </si>
  <si>
    <t>Kosten Fläch Tücher</t>
  </si>
  <si>
    <t>Kosten Verschnitt plus 10 %</t>
  </si>
  <si>
    <t>Arbeitszeit gesamt</t>
  </si>
  <si>
    <t>Kosten Strom</t>
  </si>
  <si>
    <t>Bedarf Wachs pro Tuch</t>
  </si>
  <si>
    <t>Kosten Wachs</t>
  </si>
  <si>
    <t>Gesamtkosten</t>
  </si>
  <si>
    <r>
      <rPr>
        <b/>
        <sz val="13"/>
        <color theme="1"/>
        <rFont val="Calibri"/>
        <family val="2"/>
        <scheme val="minor"/>
      </rPr>
      <t>O</t>
    </r>
    <r>
      <rPr>
        <sz val="13"/>
        <color theme="1"/>
        <rFont val="Calibri"/>
        <family val="2"/>
        <scheme val="minor"/>
      </rPr>
      <t xml:space="preserve">  Art Der Amortisation Wählen. 
</t>
    </r>
    <r>
      <rPr>
        <b/>
        <sz val="13"/>
        <color theme="1"/>
        <rFont val="Calibri"/>
        <family val="2"/>
        <scheme val="minor"/>
      </rPr>
      <t>O</t>
    </r>
    <r>
      <rPr>
        <sz val="13"/>
        <color theme="1"/>
        <rFont val="Calibri"/>
        <family val="2"/>
        <scheme val="minor"/>
      </rPr>
      <t xml:space="preserve">  Auf Gesamtstückzahl = Kerzenform  
      abbezahlen.
</t>
    </r>
    <r>
      <rPr>
        <b/>
        <sz val="13"/>
        <color theme="1"/>
        <rFont val="Calibri"/>
        <family val="2"/>
        <scheme val="minor"/>
      </rPr>
      <t>O</t>
    </r>
    <r>
      <rPr>
        <sz val="13"/>
        <color theme="1"/>
        <rFont val="Calibri"/>
        <family val="2"/>
        <scheme val="minor"/>
      </rPr>
      <t xml:space="preserve">  Manuelle Menge = Gewinnorientiert (Auf 
     neue Form  sparen)
</t>
    </r>
    <r>
      <rPr>
        <b/>
        <sz val="13"/>
        <color theme="1"/>
        <rFont val="Calibri"/>
        <family val="2"/>
        <scheme val="minor"/>
      </rPr>
      <t>O</t>
    </r>
    <r>
      <rPr>
        <sz val="13"/>
        <color theme="1"/>
        <rFont val="Calibri"/>
        <family val="2"/>
        <scheme val="minor"/>
      </rPr>
      <t xml:space="preserve">  Manuelle Menge ist als Standart 
     hinterlegt</t>
    </r>
  </si>
  <si>
    <t>etc.</t>
  </si>
  <si>
    <t>Beutensystem (Boden, Zargen, Deckel)</t>
  </si>
  <si>
    <t>Abgeschriebene Fixkosten</t>
  </si>
  <si>
    <t>Sheabutter</t>
  </si>
  <si>
    <t>Olivenöl</t>
  </si>
  <si>
    <t>Cremedosen</t>
  </si>
  <si>
    <t>Schmelztopf</t>
  </si>
  <si>
    <t>Ätherisches mandelöl</t>
  </si>
  <si>
    <t>Stumpen rund</t>
  </si>
  <si>
    <t>Schmelztiegel</t>
  </si>
  <si>
    <t>Eingesetzte Menge/ Kerze</t>
  </si>
  <si>
    <t>Dochteinsatz in cm/ Kerze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</si>
</sst>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4" formatCode="_-* #,##0.00\ &quot;€&quot;_-;\-* #,##0.00\ &quot;€&quot;_-;_-* &quot;-&quot;??\ &quot;€&quot;_-;_-@_-"/>
    <numFmt numFmtId="164" formatCode="0.00\ &quot;g&quot;"/>
    <numFmt numFmtId="165" formatCode="0.00\ &quot;€&quot;"/>
    <numFmt numFmtId="166" formatCode="0.00\ &quot;ml&quot;"/>
    <numFmt numFmtId="167" formatCode="#,##0.00\ &quot;€&quot;"/>
    <numFmt numFmtId="168" formatCode="0\ &quot;Minuten&quot;"/>
    <numFmt numFmtId="169" formatCode="0\ &quot;Stück&quot;"/>
    <numFmt numFmtId="170" formatCode="0\ &quot;Watt&quot;"/>
    <numFmt numFmtId="171" formatCode="0.00\ &quot;kWh&quot;"/>
    <numFmt numFmtId="172" formatCode="0.00\ &quot;cm&quot;"/>
    <numFmt numFmtId="173" formatCode="0\ &quot;Kg&quot;"/>
    <numFmt numFmtId="174" formatCode="0\ &quot;Stunden&quot;"/>
    <numFmt numFmtId="175" formatCode="0.00\ &quot;€/ km&quot;"/>
    <numFmt numFmtId="176" formatCode="0.00\ &quot;km&quot;"/>
    <numFmt numFmtId="177" formatCode="&quot;ca.&quot;\ 0\ &quot;Stück&quot;"/>
    <numFmt numFmtId="178" formatCode="0.00\ &quot;min&quot;"/>
    <numFmt numFmtId="179" formatCode="0.00\ &quot;kW&quot;"/>
    <numFmt numFmtId="180" formatCode="0.00\ &quot;m²&quot;"/>
    <numFmt numFmtId="181" formatCode="0.00\ &quot;m&quot;"/>
    <numFmt numFmtId="182" formatCode="0.00\ &quot;Std.&quot;"/>
    <numFmt numFmtId="183" formatCode="0.00\ &quot;Einheiten&quot;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6"/>
      <color rgb="FFFFFF00"/>
      <name val="Calibri"/>
      <family val="2"/>
      <scheme val="minor"/>
    </font>
    <font>
      <sz val="14"/>
      <color rgb="FFFFFF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8"/>
      <color rgb="FFFFFF00"/>
      <name val="Calibri"/>
      <family val="2"/>
      <scheme val="minor"/>
    </font>
    <font>
      <b/>
      <sz val="2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20"/>
      <color theme="4" tint="0.39997558519241921"/>
      <name val="Calibri"/>
      <family val="2"/>
      <scheme val="minor"/>
    </font>
    <font>
      <b/>
      <sz val="20"/>
      <color rgb="FFFFFF0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6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2"/>
      <color rgb="FFFFFF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36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59">
    <xf numFmtId="0" fontId="0" fillId="0" borderId="0" xfId="0"/>
    <xf numFmtId="167" fontId="0" fillId="0" borderId="0" xfId="0" applyNumberFormat="1"/>
    <xf numFmtId="0" fontId="2" fillId="13" borderId="2" xfId="0" applyFont="1" applyFill="1" applyBorder="1" applyAlignment="1">
      <alignment horizontal="center"/>
    </xf>
    <xf numFmtId="167" fontId="0" fillId="14" borderId="2" xfId="0" applyNumberFormat="1" applyFill="1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21" xfId="0" applyBorder="1"/>
    <xf numFmtId="0" fontId="0" fillId="0" borderId="22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167" fontId="5" fillId="0" borderId="0" xfId="0" applyNumberFormat="1" applyFont="1" applyAlignment="1">
      <alignment vertical="center"/>
    </xf>
    <xf numFmtId="167" fontId="0" fillId="0" borderId="0" xfId="1" applyNumberFormat="1" applyFont="1"/>
    <xf numFmtId="0" fontId="3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" fillId="15" borderId="23" xfId="0" applyFont="1" applyFill="1" applyBorder="1" applyAlignment="1">
      <alignment horizontal="center" vertical="center"/>
    </xf>
    <xf numFmtId="167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 vertical="center"/>
    </xf>
    <xf numFmtId="169" fontId="2" fillId="15" borderId="24" xfId="0" applyNumberFormat="1" applyFont="1" applyFill="1" applyBorder="1" applyAlignment="1">
      <alignment horizontal="center" vertical="center"/>
    </xf>
    <xf numFmtId="167" fontId="2" fillId="0" borderId="0" xfId="0" applyNumberFormat="1" applyFont="1"/>
    <xf numFmtId="0" fontId="2" fillId="0" borderId="0" xfId="0" applyFont="1"/>
    <xf numFmtId="169" fontId="0" fillId="0" borderId="0" xfId="0" applyNumberFormat="1"/>
    <xf numFmtId="169" fontId="2" fillId="0" borderId="0" xfId="0" applyNumberFormat="1" applyFont="1"/>
    <xf numFmtId="0" fontId="0" fillId="0" borderId="0" xfId="0" applyAlignment="1">
      <alignment vertical="top" wrapText="1"/>
    </xf>
    <xf numFmtId="0" fontId="2" fillId="13" borderId="23" xfId="0" applyFont="1" applyFill="1" applyBorder="1" applyAlignment="1">
      <alignment horizontal="center"/>
    </xf>
    <xf numFmtId="0" fontId="2" fillId="13" borderId="24" xfId="0" applyFont="1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167" fontId="0" fillId="14" borderId="28" xfId="0" applyNumberFormat="1" applyFill="1" applyBorder="1" applyAlignment="1">
      <alignment horizontal="center"/>
    </xf>
    <xf numFmtId="167" fontId="0" fillId="14" borderId="29" xfId="0" applyNumberFormat="1" applyFill="1" applyBorder="1" applyAlignment="1">
      <alignment horizontal="center"/>
    </xf>
    <xf numFmtId="167" fontId="0" fillId="14" borderId="29" xfId="0" applyNumberFormat="1" applyFill="1" applyBorder="1" applyAlignment="1">
      <alignment horizontal="center" vertical="center"/>
    </xf>
    <xf numFmtId="167" fontId="0" fillId="14" borderId="30" xfId="0" applyNumberFormat="1" applyFill="1" applyBorder="1" applyAlignment="1">
      <alignment horizontal="center" vertical="center"/>
    </xf>
    <xf numFmtId="0" fontId="2" fillId="13" borderId="46" xfId="0" applyFont="1" applyFill="1" applyBorder="1" applyAlignment="1">
      <alignment horizontal="center"/>
    </xf>
    <xf numFmtId="0" fontId="2" fillId="13" borderId="32" xfId="0" applyFont="1" applyFill="1" applyBorder="1" applyAlignment="1">
      <alignment horizontal="center"/>
    </xf>
    <xf numFmtId="167" fontId="0" fillId="14" borderId="36" xfId="0" applyNumberFormat="1" applyFill="1" applyBorder="1" applyAlignment="1">
      <alignment horizontal="center"/>
    </xf>
    <xf numFmtId="169" fontId="0" fillId="14" borderId="29" xfId="0" applyNumberFormat="1" applyFill="1" applyBorder="1" applyAlignment="1">
      <alignment horizontal="center"/>
    </xf>
    <xf numFmtId="171" fontId="0" fillId="14" borderId="19" xfId="0" applyNumberFormat="1" applyFill="1" applyBorder="1" applyAlignment="1">
      <alignment horizontal="center"/>
    </xf>
    <xf numFmtId="167" fontId="0" fillId="14" borderId="30" xfId="0" applyNumberFormat="1" applyFill="1" applyBorder="1" applyAlignment="1">
      <alignment horizontal="center"/>
    </xf>
    <xf numFmtId="171" fontId="0" fillId="14" borderId="36" xfId="0" applyNumberFormat="1" applyFill="1" applyBorder="1" applyAlignment="1">
      <alignment horizontal="center"/>
    </xf>
    <xf numFmtId="0" fontId="9" fillId="0" borderId="0" xfId="0" applyFont="1"/>
    <xf numFmtId="167" fontId="0" fillId="0" borderId="21" xfId="0" applyNumberFormat="1" applyBorder="1" applyAlignment="1">
      <alignment horizontal="center"/>
    </xf>
    <xf numFmtId="167" fontId="0" fillId="0" borderId="22" xfId="0" applyNumberFormat="1" applyBorder="1" applyAlignment="1">
      <alignment horizontal="center" vertical="center"/>
    </xf>
    <xf numFmtId="0" fontId="2" fillId="24" borderId="2" xfId="0" applyFont="1" applyFill="1" applyBorder="1" applyAlignment="1">
      <alignment horizontal="center" vertical="center"/>
    </xf>
    <xf numFmtId="180" fontId="0" fillId="0" borderId="39" xfId="0" applyNumberFormat="1" applyBorder="1" applyAlignment="1">
      <alignment horizontal="center"/>
    </xf>
    <xf numFmtId="180" fontId="0" fillId="0" borderId="3" xfId="0" applyNumberFormat="1" applyBorder="1" applyAlignment="1">
      <alignment horizontal="center"/>
    </xf>
    <xf numFmtId="181" fontId="0" fillId="0" borderId="3" xfId="0" applyNumberFormat="1" applyBorder="1" applyAlignment="1">
      <alignment horizontal="center" vertical="center"/>
    </xf>
    <xf numFmtId="180" fontId="0" fillId="0" borderId="47" xfId="0" applyNumberFormat="1" applyBorder="1" applyAlignment="1">
      <alignment horizontal="center"/>
    </xf>
    <xf numFmtId="0" fontId="2" fillId="12" borderId="48" xfId="0" applyFont="1" applyFill="1" applyBorder="1" applyAlignment="1">
      <alignment horizontal="center" vertical="center"/>
    </xf>
    <xf numFmtId="165" fontId="0" fillId="0" borderId="39" xfId="0" applyNumberFormat="1" applyBorder="1" applyAlignment="1">
      <alignment horizontal="center"/>
    </xf>
    <xf numFmtId="165" fontId="0" fillId="0" borderId="3" xfId="0" applyNumberFormat="1" applyBorder="1" applyAlignment="1">
      <alignment horizontal="center"/>
    </xf>
    <xf numFmtId="182" fontId="0" fillId="0" borderId="3" xfId="0" applyNumberFormat="1" applyBorder="1" applyAlignment="1">
      <alignment horizontal="center" vertical="center"/>
    </xf>
    <xf numFmtId="165" fontId="0" fillId="0" borderId="47" xfId="0" applyNumberFormat="1" applyBorder="1" applyAlignment="1">
      <alignment horizontal="center"/>
    </xf>
    <xf numFmtId="164" fontId="0" fillId="0" borderId="36" xfId="0" applyNumberFormat="1" applyBorder="1" applyAlignment="1">
      <alignment horizontal="center"/>
    </xf>
    <xf numFmtId="165" fontId="0" fillId="0" borderId="36" xfId="0" applyNumberFormat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174" fontId="2" fillId="0" borderId="0" xfId="0" applyNumberFormat="1" applyFont="1" applyAlignment="1" applyProtection="1">
      <alignment horizontal="center" vertical="center"/>
      <protection locked="0"/>
    </xf>
    <xf numFmtId="0" fontId="8" fillId="17" borderId="10" xfId="0" applyFont="1" applyFill="1" applyBorder="1" applyAlignment="1" applyProtection="1">
      <alignment horizontal="center" vertical="center"/>
      <protection locked="0"/>
    </xf>
    <xf numFmtId="0" fontId="2" fillId="17" borderId="2" xfId="0" applyFont="1" applyFill="1" applyBorder="1" applyAlignment="1" applyProtection="1">
      <alignment horizontal="center" vertical="center"/>
      <protection locked="0"/>
    </xf>
    <xf numFmtId="0" fontId="2" fillId="17" borderId="11" xfId="0" applyFont="1" applyFill="1" applyBorder="1" applyAlignment="1" applyProtection="1">
      <alignment horizontal="center" vertical="center"/>
      <protection locked="0"/>
    </xf>
    <xf numFmtId="0" fontId="8" fillId="7" borderId="4" xfId="0" applyFont="1" applyFill="1" applyBorder="1" applyAlignment="1" applyProtection="1">
      <alignment horizontal="center" vertical="center"/>
      <protection locked="0"/>
    </xf>
    <xf numFmtId="0" fontId="2" fillId="7" borderId="4" xfId="0" applyFont="1" applyFill="1" applyBorder="1" applyAlignment="1" applyProtection="1">
      <alignment horizontal="center" vertical="center"/>
      <protection locked="0"/>
    </xf>
    <xf numFmtId="0" fontId="2" fillId="7" borderId="2" xfId="0" applyFont="1" applyFill="1" applyBorder="1" applyAlignment="1" applyProtection="1">
      <alignment horizontal="center" vertical="center"/>
      <protection locked="0"/>
    </xf>
    <xf numFmtId="0" fontId="2" fillId="13" borderId="12" xfId="0" applyFont="1" applyFill="1" applyBorder="1" applyAlignment="1" applyProtection="1">
      <alignment horizontal="center" vertical="center"/>
      <protection locked="0"/>
    </xf>
    <xf numFmtId="0" fontId="0" fillId="0" borderId="21" xfId="0" applyBorder="1" applyProtection="1">
      <protection locked="0"/>
    </xf>
    <xf numFmtId="10" fontId="0" fillId="0" borderId="22" xfId="0" applyNumberFormat="1" applyBorder="1" applyProtection="1">
      <protection locked="0"/>
    </xf>
    <xf numFmtId="0" fontId="0" fillId="0" borderId="26" xfId="0" applyBorder="1" applyProtection="1">
      <protection locked="0"/>
    </xf>
    <xf numFmtId="167" fontId="0" fillId="18" borderId="33" xfId="0" applyNumberFormat="1" applyFill="1" applyBorder="1" applyAlignment="1" applyProtection="1">
      <alignment horizontal="center" vertical="center"/>
      <protection locked="0"/>
    </xf>
    <xf numFmtId="169" fontId="0" fillId="18" borderId="47" xfId="0" applyNumberFormat="1" applyFill="1" applyBorder="1" applyAlignment="1" applyProtection="1">
      <alignment horizontal="center" vertical="center"/>
      <protection locked="0"/>
    </xf>
    <xf numFmtId="177" fontId="15" fillId="14" borderId="52" xfId="0" applyNumberFormat="1" applyFont="1" applyFill="1" applyBorder="1" applyAlignment="1" applyProtection="1">
      <alignment horizontal="center"/>
      <protection locked="0"/>
    </xf>
    <xf numFmtId="169" fontId="0" fillId="18" borderId="27" xfId="0" applyNumberFormat="1" applyFill="1" applyBorder="1" applyAlignment="1" applyProtection="1">
      <alignment horizontal="center" vertical="center"/>
      <protection locked="0"/>
    </xf>
    <xf numFmtId="177" fontId="15" fillId="14" borderId="53" xfId="0" applyNumberFormat="1" applyFont="1" applyFill="1" applyBorder="1" applyAlignment="1" applyProtection="1">
      <alignment horizontal="center"/>
      <protection locked="0"/>
    </xf>
    <xf numFmtId="0" fontId="0" fillId="0" borderId="39" xfId="0" applyBorder="1" applyProtection="1">
      <protection locked="0"/>
    </xf>
    <xf numFmtId="167" fontId="0" fillId="3" borderId="1" xfId="0" applyNumberFormat="1" applyFill="1" applyBorder="1" applyAlignment="1" applyProtection="1">
      <alignment horizontal="center" vertical="center"/>
      <protection locked="0"/>
    </xf>
    <xf numFmtId="169" fontId="0" fillId="3" borderId="1" xfId="0" applyNumberFormat="1" applyFill="1" applyBorder="1" applyAlignment="1" applyProtection="1">
      <alignment horizontal="center" vertical="center"/>
      <protection locked="0"/>
    </xf>
    <xf numFmtId="10" fontId="0" fillId="3" borderId="27" xfId="0" applyNumberFormat="1" applyFill="1" applyBorder="1" applyAlignment="1" applyProtection="1">
      <alignment horizontal="center" vertical="center"/>
      <protection locked="0"/>
    </xf>
    <xf numFmtId="0" fontId="0" fillId="0" borderId="28" xfId="0" applyBorder="1" applyProtection="1">
      <protection locked="0"/>
    </xf>
    <xf numFmtId="167" fontId="0" fillId="18" borderId="42" xfId="0" applyNumberFormat="1" applyFill="1" applyBorder="1" applyAlignment="1" applyProtection="1">
      <alignment horizontal="center" vertical="center"/>
      <protection locked="0"/>
    </xf>
    <xf numFmtId="169" fontId="0" fillId="18" borderId="30" xfId="0" applyNumberFormat="1" applyFill="1" applyBorder="1" applyAlignment="1" applyProtection="1">
      <alignment horizontal="center" vertical="center"/>
      <protection locked="0"/>
    </xf>
    <xf numFmtId="167" fontId="0" fillId="0" borderId="0" xfId="0" applyNumberFormat="1" applyAlignment="1" applyProtection="1">
      <alignment horizontal="center" vertical="center"/>
      <protection locked="0"/>
    </xf>
    <xf numFmtId="169" fontId="0" fillId="0" borderId="0" xfId="0" applyNumberFormat="1" applyAlignment="1" applyProtection="1">
      <alignment horizontal="center" vertical="center"/>
      <protection locked="0"/>
    </xf>
    <xf numFmtId="0" fontId="2" fillId="12" borderId="23" xfId="0" applyFont="1" applyFill="1" applyBorder="1" applyAlignment="1" applyProtection="1">
      <alignment horizontal="center" vertical="center"/>
      <protection locked="0"/>
    </xf>
    <xf numFmtId="0" fontId="2" fillId="12" borderId="25" xfId="0" applyFont="1" applyFill="1" applyBorder="1" applyAlignment="1" applyProtection="1">
      <alignment horizontal="center" vertical="center"/>
      <protection locked="0"/>
    </xf>
    <xf numFmtId="167" fontId="0" fillId="10" borderId="27" xfId="0" applyNumberFormat="1" applyFill="1" applyBorder="1" applyAlignment="1" applyProtection="1">
      <alignment horizontal="center" vertical="center"/>
      <protection locked="0"/>
    </xf>
    <xf numFmtId="10" fontId="0" fillId="0" borderId="22" xfId="0" applyNumberFormat="1" applyBorder="1" applyAlignment="1" applyProtection="1">
      <alignment horizontal="center" vertical="center"/>
      <protection locked="0"/>
    </xf>
    <xf numFmtId="167" fontId="0" fillId="10" borderId="30" xfId="0" applyNumberFormat="1" applyFill="1" applyBorder="1" applyAlignment="1" applyProtection="1">
      <alignment horizontal="center" vertical="center"/>
      <protection locked="0"/>
    </xf>
    <xf numFmtId="0" fontId="4" fillId="15" borderId="23" xfId="0" applyFont="1" applyFill="1" applyBorder="1" applyAlignment="1" applyProtection="1">
      <alignment horizontal="center" vertical="center"/>
      <protection locked="0"/>
    </xf>
    <xf numFmtId="169" fontId="2" fillId="15" borderId="24" xfId="0" applyNumberFormat="1" applyFont="1" applyFill="1" applyBorder="1" applyAlignment="1" applyProtection="1">
      <alignment horizontal="center" vertical="center"/>
      <protection locked="0"/>
    </xf>
    <xf numFmtId="0" fontId="2" fillId="15" borderId="26" xfId="0" applyFont="1" applyFill="1" applyBorder="1" applyAlignment="1" applyProtection="1">
      <alignment horizontal="center"/>
      <protection locked="0"/>
    </xf>
    <xf numFmtId="170" fontId="0" fillId="8" borderId="1" xfId="0" applyNumberFormat="1" applyFill="1" applyBorder="1" applyAlignment="1" applyProtection="1">
      <alignment horizontal="center" vertical="center"/>
      <protection locked="0"/>
    </xf>
    <xf numFmtId="0" fontId="2" fillId="15" borderId="28" xfId="0" applyFont="1" applyFill="1" applyBorder="1" applyAlignment="1" applyProtection="1">
      <alignment horizontal="center"/>
      <protection locked="0"/>
    </xf>
    <xf numFmtId="167" fontId="0" fillId="3" borderId="29" xfId="0" applyNumberFormat="1" applyFill="1" applyBorder="1" applyAlignment="1" applyProtection="1">
      <alignment horizontal="center" vertical="center"/>
      <protection locked="0"/>
    </xf>
    <xf numFmtId="169" fontId="0" fillId="3" borderId="29" xfId="0" applyNumberFormat="1" applyFill="1" applyBorder="1" applyAlignment="1" applyProtection="1">
      <alignment horizontal="center" vertical="center"/>
      <protection locked="0"/>
    </xf>
    <xf numFmtId="10" fontId="0" fillId="3" borderId="30" xfId="0" applyNumberFormat="1" applyFill="1" applyBorder="1" applyAlignment="1" applyProtection="1">
      <alignment horizontal="center" vertical="center"/>
      <protection locked="0"/>
    </xf>
    <xf numFmtId="0" fontId="12" fillId="16" borderId="24" xfId="0" applyFont="1" applyFill="1" applyBorder="1" applyAlignment="1" applyProtection="1">
      <alignment horizontal="center" vertical="center"/>
      <protection locked="0"/>
    </xf>
    <xf numFmtId="0" fontId="12" fillId="16" borderId="25" xfId="0" applyFont="1" applyFill="1" applyBorder="1" applyAlignment="1" applyProtection="1">
      <alignment horizontal="center" vertical="center"/>
      <protection locked="0"/>
    </xf>
    <xf numFmtId="175" fontId="2" fillId="17" borderId="29" xfId="0" applyNumberFormat="1" applyFont="1" applyFill="1" applyBorder="1" applyAlignment="1" applyProtection="1">
      <alignment horizontal="center" vertical="center"/>
      <protection locked="0"/>
    </xf>
    <xf numFmtId="176" fontId="2" fillId="17" borderId="30" xfId="0" applyNumberFormat="1" applyFont="1" applyFill="1" applyBorder="1" applyAlignment="1" applyProtection="1">
      <alignment horizontal="center" vertical="center"/>
      <protection locked="0"/>
    </xf>
    <xf numFmtId="0" fontId="4" fillId="12" borderId="40" xfId="0" applyFont="1" applyFill="1" applyBorder="1" applyAlignment="1" applyProtection="1">
      <alignment horizontal="center" vertical="center"/>
      <protection locked="0"/>
    </xf>
    <xf numFmtId="0" fontId="2" fillId="12" borderId="24" xfId="0" applyFont="1" applyFill="1" applyBorder="1" applyAlignment="1" applyProtection="1">
      <alignment horizontal="center" vertical="center"/>
      <protection locked="0"/>
    </xf>
    <xf numFmtId="167" fontId="0" fillId="10" borderId="1" xfId="0" applyNumberFormat="1" applyFill="1" applyBorder="1" applyAlignment="1" applyProtection="1">
      <alignment horizontal="center" vertical="center"/>
      <protection locked="0"/>
    </xf>
    <xf numFmtId="183" fontId="0" fillId="10" borderId="1" xfId="0" applyNumberFormat="1" applyFill="1" applyBorder="1" applyAlignment="1" applyProtection="1">
      <alignment horizontal="center" vertical="center"/>
      <protection locked="0"/>
    </xf>
    <xf numFmtId="0" fontId="2" fillId="9" borderId="10" xfId="0" applyFont="1" applyFill="1" applyBorder="1" applyAlignment="1" applyProtection="1">
      <alignment horizontal="center" vertical="center"/>
      <protection locked="0"/>
    </xf>
    <xf numFmtId="0" fontId="2" fillId="9" borderId="2" xfId="0" applyFont="1" applyFill="1" applyBorder="1" applyAlignment="1" applyProtection="1">
      <alignment horizontal="center" vertical="center"/>
      <protection locked="0"/>
    </xf>
    <xf numFmtId="167" fontId="2" fillId="10" borderId="8" xfId="0" applyNumberFormat="1" applyFont="1" applyFill="1" applyBorder="1" applyAlignment="1" applyProtection="1">
      <alignment horizontal="center" vertical="center"/>
      <protection locked="0"/>
    </xf>
    <xf numFmtId="0" fontId="2" fillId="10" borderId="2" xfId="0" applyFont="1" applyFill="1" applyBorder="1" applyAlignment="1" applyProtection="1">
      <alignment horizontal="center" vertical="center"/>
      <protection locked="0"/>
    </xf>
    <xf numFmtId="0" fontId="7" fillId="16" borderId="2" xfId="0" applyFont="1" applyFill="1" applyBorder="1" applyAlignment="1" applyProtection="1">
      <alignment horizontal="center" vertical="center"/>
      <protection locked="0"/>
    </xf>
    <xf numFmtId="167" fontId="7" fillId="17" borderId="2" xfId="0" applyNumberFormat="1" applyFont="1" applyFill="1" applyBorder="1" applyAlignment="1" applyProtection="1">
      <alignment horizontal="center" vertical="center"/>
      <protection locked="0"/>
    </xf>
    <xf numFmtId="0" fontId="6" fillId="7" borderId="2" xfId="0" applyFont="1" applyFill="1" applyBorder="1" applyAlignment="1" applyProtection="1">
      <alignment horizontal="center" vertical="center"/>
      <protection locked="0"/>
    </xf>
    <xf numFmtId="10" fontId="6" fillId="11" borderId="12" xfId="0" applyNumberFormat="1" applyFont="1" applyFill="1" applyBorder="1" applyAlignment="1" applyProtection="1">
      <alignment horizontal="center" vertical="center"/>
      <protection locked="0"/>
    </xf>
    <xf numFmtId="167" fontId="0" fillId="10" borderId="29" xfId="0" applyNumberFormat="1" applyFill="1" applyBorder="1" applyAlignment="1" applyProtection="1">
      <alignment horizontal="center" vertical="center"/>
      <protection locked="0"/>
    </xf>
    <xf numFmtId="0" fontId="3" fillId="4" borderId="23" xfId="0" applyFont="1" applyFill="1" applyBorder="1" applyAlignment="1" applyProtection="1">
      <alignment horizontal="center"/>
      <protection locked="0"/>
    </xf>
    <xf numFmtId="0" fontId="2" fillId="4" borderId="24" xfId="0" applyFont="1" applyFill="1" applyBorder="1" applyAlignment="1" applyProtection="1">
      <alignment horizontal="center" vertical="center"/>
      <protection locked="0"/>
    </xf>
    <xf numFmtId="0" fontId="2" fillId="4" borderId="25" xfId="0" applyFont="1" applyFill="1" applyBorder="1" applyAlignment="1" applyProtection="1">
      <alignment horizontal="center" vertical="center"/>
      <protection locked="0"/>
    </xf>
    <xf numFmtId="0" fontId="2" fillId="4" borderId="26" xfId="0" applyFont="1" applyFill="1" applyBorder="1" applyAlignment="1" applyProtection="1">
      <alignment horizontal="center"/>
      <protection locked="0"/>
    </xf>
    <xf numFmtId="164" fontId="0" fillId="3" borderId="1" xfId="0" applyNumberFormat="1" applyFill="1" applyBorder="1" applyAlignment="1" applyProtection="1">
      <alignment horizontal="center" vertical="center"/>
      <protection locked="0"/>
    </xf>
    <xf numFmtId="165" fontId="0" fillId="3" borderId="1" xfId="0" applyNumberFormat="1" applyFill="1" applyBorder="1" applyAlignment="1" applyProtection="1">
      <alignment horizontal="center" vertical="center"/>
      <protection locked="0"/>
    </xf>
    <xf numFmtId="164" fontId="0" fillId="3" borderId="27" xfId="0" applyNumberFormat="1" applyFill="1" applyBorder="1" applyAlignment="1" applyProtection="1">
      <alignment horizontal="center" vertical="center"/>
      <protection locked="0"/>
    </xf>
    <xf numFmtId="0" fontId="2" fillId="4" borderId="28" xfId="0" applyFont="1" applyFill="1" applyBorder="1" applyAlignment="1" applyProtection="1">
      <alignment horizontal="center"/>
      <protection locked="0"/>
    </xf>
    <xf numFmtId="164" fontId="0" fillId="3" borderId="29" xfId="0" applyNumberFormat="1" applyFill="1" applyBorder="1" applyAlignment="1" applyProtection="1">
      <alignment horizontal="center" vertical="center"/>
      <protection locked="0"/>
    </xf>
    <xf numFmtId="165" fontId="0" fillId="3" borderId="29" xfId="0" applyNumberFormat="1" applyFill="1" applyBorder="1" applyAlignment="1" applyProtection="1">
      <alignment horizontal="center" vertical="center"/>
      <protection locked="0"/>
    </xf>
    <xf numFmtId="164" fontId="0" fillId="3" borderId="30" xfId="0" applyNumberFormat="1" applyFill="1" applyBorder="1" applyAlignment="1" applyProtection="1">
      <alignment horizontal="center" vertical="center"/>
      <protection locked="0"/>
    </xf>
    <xf numFmtId="0" fontId="3" fillId="7" borderId="23" xfId="0" applyFont="1" applyFill="1" applyBorder="1" applyAlignment="1" applyProtection="1">
      <alignment horizontal="center"/>
      <protection locked="0"/>
    </xf>
    <xf numFmtId="0" fontId="2" fillId="7" borderId="24" xfId="0" applyFont="1" applyFill="1" applyBorder="1" applyAlignment="1" applyProtection="1">
      <alignment horizontal="center" vertical="center"/>
      <protection locked="0"/>
    </xf>
    <xf numFmtId="0" fontId="2" fillId="7" borderId="25" xfId="0" applyFont="1" applyFill="1" applyBorder="1" applyAlignment="1" applyProtection="1">
      <alignment horizontal="center" vertical="center"/>
      <protection locked="0"/>
    </xf>
    <xf numFmtId="0" fontId="2" fillId="7" borderId="26" xfId="0" applyFont="1" applyFill="1" applyBorder="1" applyAlignment="1" applyProtection="1">
      <alignment horizontal="center"/>
      <protection locked="0"/>
    </xf>
    <xf numFmtId="169" fontId="0" fillId="8" borderId="1" xfId="0" applyNumberFormat="1" applyFill="1" applyBorder="1" applyAlignment="1" applyProtection="1">
      <alignment horizontal="center" vertical="center"/>
      <protection locked="0"/>
    </xf>
    <xf numFmtId="167" fontId="0" fillId="8" borderId="1" xfId="1" applyNumberFormat="1" applyFont="1" applyFill="1" applyBorder="1" applyAlignment="1" applyProtection="1">
      <alignment horizontal="center" vertical="center"/>
      <protection locked="0"/>
    </xf>
    <xf numFmtId="169" fontId="0" fillId="8" borderId="27" xfId="0" applyNumberFormat="1" applyFill="1" applyBorder="1" applyAlignment="1" applyProtection="1">
      <alignment horizontal="center" vertical="center"/>
      <protection locked="0"/>
    </xf>
    <xf numFmtId="0" fontId="2" fillId="7" borderId="28" xfId="0" applyFont="1" applyFill="1" applyBorder="1" applyAlignment="1" applyProtection="1">
      <alignment horizontal="center" vertical="center"/>
      <protection locked="0"/>
    </xf>
    <xf numFmtId="169" fontId="0" fillId="8" borderId="29" xfId="0" applyNumberFormat="1" applyFill="1" applyBorder="1" applyAlignment="1" applyProtection="1">
      <alignment horizontal="center" vertical="center"/>
      <protection locked="0"/>
    </xf>
    <xf numFmtId="167" fontId="0" fillId="8" borderId="29" xfId="1" applyNumberFormat="1" applyFont="1" applyFill="1" applyBorder="1" applyAlignment="1" applyProtection="1">
      <alignment horizontal="center" vertical="center"/>
      <protection locked="0"/>
    </xf>
    <xf numFmtId="169" fontId="0" fillId="8" borderId="30" xfId="0" applyNumberFormat="1" applyFill="1" applyBorder="1" applyAlignment="1" applyProtection="1">
      <alignment horizontal="center" vertical="center"/>
      <protection locked="0"/>
    </xf>
    <xf numFmtId="0" fontId="3" fillId="5" borderId="1" xfId="0" applyFont="1" applyFill="1" applyBorder="1" applyAlignment="1" applyProtection="1">
      <alignment horizontal="center"/>
      <protection locked="0"/>
    </xf>
    <xf numFmtId="0" fontId="2" fillId="5" borderId="1" xfId="0" applyFont="1" applyFill="1" applyBorder="1" applyAlignment="1" applyProtection="1">
      <alignment horizontal="center" vertical="center"/>
      <protection locked="0"/>
    </xf>
    <xf numFmtId="0" fontId="2" fillId="5" borderId="1" xfId="0" applyFont="1" applyFill="1" applyBorder="1" applyAlignment="1" applyProtection="1">
      <alignment horizontal="center"/>
      <protection locked="0"/>
    </xf>
    <xf numFmtId="166" fontId="0" fillId="6" borderId="1" xfId="0" applyNumberFormat="1" applyFill="1" applyBorder="1" applyAlignment="1" applyProtection="1">
      <alignment horizontal="center" vertical="center"/>
      <protection locked="0"/>
    </xf>
    <xf numFmtId="165" fontId="0" fillId="6" borderId="1" xfId="0" applyNumberFormat="1" applyFill="1" applyBorder="1" applyAlignment="1" applyProtection="1">
      <alignment horizontal="center"/>
      <protection locked="0"/>
    </xf>
    <xf numFmtId="0" fontId="2" fillId="9" borderId="15" xfId="0" applyFont="1" applyFill="1" applyBorder="1" applyAlignment="1" applyProtection="1">
      <alignment horizontal="center" vertical="center"/>
      <protection locked="0"/>
    </xf>
    <xf numFmtId="0" fontId="2" fillId="9" borderId="16" xfId="0" applyFont="1" applyFill="1" applyBorder="1" applyAlignment="1" applyProtection="1">
      <alignment horizontal="center" vertical="center"/>
      <protection locked="0"/>
    </xf>
    <xf numFmtId="0" fontId="2" fillId="9" borderId="17" xfId="0" applyFont="1" applyFill="1" applyBorder="1" applyAlignment="1" applyProtection="1">
      <alignment horizontal="center" vertical="center"/>
      <protection locked="0"/>
    </xf>
    <xf numFmtId="167" fontId="2" fillId="10" borderId="18" xfId="0" applyNumberFormat="1" applyFont="1" applyFill="1" applyBorder="1" applyAlignment="1" applyProtection="1">
      <alignment horizontal="center" vertical="center"/>
      <protection locked="0"/>
    </xf>
    <xf numFmtId="0" fontId="2" fillId="10" borderId="19" xfId="0" applyFont="1" applyFill="1" applyBorder="1" applyAlignment="1" applyProtection="1">
      <alignment horizontal="center" vertical="center"/>
      <protection locked="0"/>
    </xf>
    <xf numFmtId="168" fontId="0" fillId="10" borderId="20" xfId="0" applyNumberForma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167" fontId="5" fillId="0" borderId="0" xfId="0" applyNumberFormat="1" applyFont="1" applyAlignment="1" applyProtection="1">
      <alignment vertical="center"/>
      <protection locked="0"/>
    </xf>
    <xf numFmtId="0" fontId="3" fillId="5" borderId="23" xfId="0" applyFont="1" applyFill="1" applyBorder="1" applyAlignment="1" applyProtection="1">
      <alignment horizontal="center"/>
      <protection locked="0"/>
    </xf>
    <xf numFmtId="0" fontId="2" fillId="5" borderId="24" xfId="0" applyFont="1" applyFill="1" applyBorder="1" applyAlignment="1" applyProtection="1">
      <alignment horizontal="center" vertical="center"/>
      <protection locked="0"/>
    </xf>
    <xf numFmtId="0" fontId="2" fillId="5" borderId="25" xfId="0" applyFont="1" applyFill="1" applyBorder="1" applyAlignment="1" applyProtection="1">
      <alignment horizontal="center" vertical="center"/>
      <protection locked="0"/>
    </xf>
    <xf numFmtId="0" fontId="2" fillId="5" borderId="26" xfId="0" applyFont="1" applyFill="1" applyBorder="1" applyAlignment="1" applyProtection="1">
      <alignment horizontal="center"/>
      <protection locked="0"/>
    </xf>
    <xf numFmtId="172" fontId="0" fillId="6" borderId="1" xfId="0" applyNumberFormat="1" applyFill="1" applyBorder="1" applyAlignment="1" applyProtection="1">
      <alignment horizontal="center" vertical="center"/>
      <protection locked="0"/>
    </xf>
    <xf numFmtId="172" fontId="0" fillId="6" borderId="27" xfId="0" applyNumberFormat="1" applyFill="1" applyBorder="1" applyAlignment="1" applyProtection="1">
      <alignment horizontal="center" vertical="center"/>
      <protection locked="0"/>
    </xf>
    <xf numFmtId="0" fontId="2" fillId="5" borderId="28" xfId="0" applyFont="1" applyFill="1" applyBorder="1" applyAlignment="1" applyProtection="1">
      <alignment horizontal="center"/>
      <protection locked="0"/>
    </xf>
    <xf numFmtId="172" fontId="0" fillId="6" borderId="29" xfId="0" applyNumberFormat="1" applyFill="1" applyBorder="1" applyAlignment="1" applyProtection="1">
      <alignment horizontal="center" vertical="center"/>
      <protection locked="0"/>
    </xf>
    <xf numFmtId="165" fontId="0" fillId="6" borderId="29" xfId="0" applyNumberFormat="1" applyFill="1" applyBorder="1" applyAlignment="1" applyProtection="1">
      <alignment horizontal="center"/>
      <protection locked="0"/>
    </xf>
    <xf numFmtId="172" fontId="0" fillId="6" borderId="30" xfId="0" applyNumberFormat="1" applyFill="1" applyBorder="1" applyAlignment="1" applyProtection="1">
      <alignment horizontal="center" vertical="center"/>
      <protection locked="0"/>
    </xf>
    <xf numFmtId="170" fontId="0" fillId="8" borderId="29" xfId="0" applyNumberFormat="1" applyFill="1" applyBorder="1" applyAlignment="1" applyProtection="1">
      <alignment horizontal="center" vertical="center"/>
      <protection locked="0"/>
    </xf>
    <xf numFmtId="0" fontId="11" fillId="4" borderId="2" xfId="0" applyFont="1" applyFill="1" applyBorder="1" applyAlignment="1" applyProtection="1">
      <alignment horizontal="center" vertical="center"/>
      <protection locked="0"/>
    </xf>
    <xf numFmtId="9" fontId="4" fillId="22" borderId="2" xfId="3" applyFont="1" applyFill="1" applyBorder="1" applyAlignment="1" applyProtection="1">
      <alignment horizontal="center" vertical="center"/>
      <protection locked="0"/>
    </xf>
    <xf numFmtId="0" fontId="3" fillId="12" borderId="2" xfId="0" applyFont="1" applyFill="1" applyBorder="1" applyAlignment="1" applyProtection="1">
      <alignment horizontal="center" vertical="center"/>
      <protection locked="0"/>
    </xf>
    <xf numFmtId="169" fontId="11" fillId="2" borderId="2" xfId="0" applyNumberFormat="1" applyFont="1" applyFill="1" applyBorder="1" applyAlignment="1" applyProtection="1">
      <alignment horizontal="center" vertical="center"/>
      <protection locked="0"/>
    </xf>
    <xf numFmtId="0" fontId="3" fillId="15" borderId="28" xfId="0" applyFont="1" applyFill="1" applyBorder="1" applyAlignment="1" applyProtection="1">
      <alignment horizontal="center" vertical="center"/>
      <protection locked="0"/>
    </xf>
    <xf numFmtId="0" fontId="3" fillId="15" borderId="29" xfId="0" applyFont="1" applyFill="1" applyBorder="1" applyAlignment="1" applyProtection="1">
      <alignment horizontal="center" vertical="center"/>
      <protection locked="0"/>
    </xf>
    <xf numFmtId="0" fontId="3" fillId="12" borderId="26" xfId="0" applyFont="1" applyFill="1" applyBorder="1" applyAlignment="1" applyProtection="1">
      <alignment horizontal="center" vertical="center"/>
      <protection locked="0"/>
    </xf>
    <xf numFmtId="0" fontId="3" fillId="12" borderId="1" xfId="0" applyFont="1" applyFill="1" applyBorder="1" applyAlignment="1" applyProtection="1">
      <alignment horizontal="center" vertical="center"/>
      <protection locked="0"/>
    </xf>
    <xf numFmtId="172" fontId="4" fillId="20" borderId="33" xfId="0" applyNumberFormat="1" applyFont="1" applyFill="1" applyBorder="1" applyAlignment="1" applyProtection="1">
      <alignment horizontal="center" vertical="center"/>
      <protection locked="0"/>
    </xf>
    <xf numFmtId="172" fontId="4" fillId="20" borderId="34" xfId="0" applyNumberFormat="1" applyFont="1" applyFill="1" applyBorder="1" applyAlignment="1" applyProtection="1">
      <alignment horizontal="center" vertical="center"/>
      <protection locked="0"/>
    </xf>
    <xf numFmtId="0" fontId="20" fillId="19" borderId="26" xfId="0" applyFont="1" applyFill="1" applyBorder="1" applyAlignment="1" applyProtection="1">
      <alignment horizontal="center" vertical="center"/>
      <protection locked="0"/>
    </xf>
    <xf numFmtId="0" fontId="20" fillId="19" borderId="1" xfId="0" applyFont="1" applyFill="1" applyBorder="1" applyAlignment="1" applyProtection="1">
      <alignment horizontal="center" vertical="center"/>
      <protection locked="0"/>
    </xf>
    <xf numFmtId="179" fontId="21" fillId="21" borderId="1" xfId="0" applyNumberFormat="1" applyFont="1" applyFill="1" applyBorder="1" applyAlignment="1" applyProtection="1">
      <alignment horizontal="center" vertical="center"/>
      <protection locked="0"/>
    </xf>
    <xf numFmtId="179" fontId="21" fillId="21" borderId="27" xfId="0" applyNumberFormat="1" applyFont="1" applyFill="1" applyBorder="1" applyAlignment="1" applyProtection="1">
      <alignment horizontal="center" vertical="center"/>
      <protection locked="0"/>
    </xf>
    <xf numFmtId="0" fontId="3" fillId="12" borderId="28" xfId="0" applyFont="1" applyFill="1" applyBorder="1" applyAlignment="1" applyProtection="1">
      <alignment horizontal="center" vertical="center"/>
      <protection locked="0"/>
    </xf>
    <xf numFmtId="0" fontId="3" fillId="12" borderId="29" xfId="0" applyFont="1" applyFill="1" applyBorder="1" applyAlignment="1" applyProtection="1">
      <alignment horizontal="center" vertical="center"/>
      <protection locked="0"/>
    </xf>
    <xf numFmtId="172" fontId="4" fillId="20" borderId="42" xfId="0" applyNumberFormat="1" applyFont="1" applyFill="1" applyBorder="1" applyAlignment="1" applyProtection="1">
      <alignment horizontal="center" vertical="center"/>
      <protection locked="0"/>
    </xf>
    <xf numFmtId="172" fontId="4" fillId="20" borderId="43" xfId="0" applyNumberFormat="1" applyFont="1" applyFill="1" applyBorder="1" applyAlignment="1" applyProtection="1">
      <alignment horizontal="center" vertical="center"/>
      <protection locked="0"/>
    </xf>
    <xf numFmtId="0" fontId="20" fillId="19" borderId="28" xfId="0" applyFont="1" applyFill="1" applyBorder="1" applyAlignment="1" applyProtection="1">
      <alignment horizontal="center" vertical="center"/>
      <protection locked="0"/>
    </xf>
    <xf numFmtId="0" fontId="20" fillId="19" borderId="29" xfId="0" applyFont="1" applyFill="1" applyBorder="1" applyAlignment="1" applyProtection="1">
      <alignment horizontal="center" vertical="center"/>
      <protection locked="0"/>
    </xf>
    <xf numFmtId="165" fontId="21" fillId="21" borderId="29" xfId="0" applyNumberFormat="1" applyFont="1" applyFill="1" applyBorder="1" applyAlignment="1" applyProtection="1">
      <alignment horizontal="center"/>
      <protection locked="0"/>
    </xf>
    <xf numFmtId="165" fontId="21" fillId="21" borderId="30" xfId="0" applyNumberFormat="1" applyFont="1" applyFill="1" applyBorder="1" applyAlignment="1" applyProtection="1">
      <alignment horizontal="center"/>
      <protection locked="0"/>
    </xf>
    <xf numFmtId="165" fontId="2" fillId="2" borderId="31" xfId="0" applyNumberFormat="1" applyFont="1" applyFill="1" applyBorder="1" applyAlignment="1">
      <alignment horizontal="center" vertical="center"/>
    </xf>
    <xf numFmtId="165" fontId="2" fillId="2" borderId="49" xfId="0" applyNumberFormat="1" applyFont="1" applyFill="1" applyBorder="1" applyAlignment="1">
      <alignment horizontal="center" vertical="center"/>
    </xf>
    <xf numFmtId="165" fontId="2" fillId="2" borderId="32" xfId="0" applyNumberFormat="1" applyFont="1" applyFill="1" applyBorder="1" applyAlignment="1">
      <alignment horizontal="center" vertical="center"/>
    </xf>
    <xf numFmtId="0" fontId="4" fillId="12" borderId="35" xfId="0" applyFont="1" applyFill="1" applyBorder="1" applyAlignment="1">
      <alignment horizontal="center" vertical="center"/>
    </xf>
    <xf numFmtId="0" fontId="4" fillId="12" borderId="50" xfId="0" applyFont="1" applyFill="1" applyBorder="1" applyAlignment="1">
      <alignment horizontal="center" vertical="center"/>
    </xf>
    <xf numFmtId="0" fontId="4" fillId="12" borderId="36" xfId="0" applyFont="1" applyFill="1" applyBorder="1" applyAlignment="1">
      <alignment horizontal="center" vertical="center"/>
    </xf>
    <xf numFmtId="165" fontId="14" fillId="2" borderId="37" xfId="0" applyNumberFormat="1" applyFont="1" applyFill="1" applyBorder="1" applyAlignment="1">
      <alignment horizontal="center" vertical="center"/>
    </xf>
    <xf numFmtId="165" fontId="14" fillId="2" borderId="38" xfId="0" applyNumberFormat="1" applyFont="1" applyFill="1" applyBorder="1" applyAlignment="1">
      <alignment horizontal="center" vertical="center"/>
    </xf>
    <xf numFmtId="165" fontId="14" fillId="2" borderId="44" xfId="0" applyNumberFormat="1" applyFont="1" applyFill="1" applyBorder="1" applyAlignment="1">
      <alignment horizontal="center" vertical="center"/>
    </xf>
    <xf numFmtId="165" fontId="14" fillId="2" borderId="51" xfId="0" applyNumberFormat="1" applyFont="1" applyFill="1" applyBorder="1" applyAlignment="1">
      <alignment horizontal="center" vertical="center"/>
    </xf>
    <xf numFmtId="165" fontId="14" fillId="2" borderId="0" xfId="0" applyNumberFormat="1" applyFont="1" applyFill="1" applyAlignment="1">
      <alignment horizontal="center" vertical="center"/>
    </xf>
    <xf numFmtId="165" fontId="14" fillId="2" borderId="22" xfId="0" applyNumberFormat="1" applyFont="1" applyFill="1" applyBorder="1" applyAlignment="1">
      <alignment horizontal="center" vertical="center"/>
    </xf>
    <xf numFmtId="165" fontId="14" fillId="2" borderId="45" xfId="0" applyNumberFormat="1" applyFont="1" applyFill="1" applyBorder="1" applyAlignment="1">
      <alignment horizontal="center" vertical="center"/>
    </xf>
    <xf numFmtId="165" fontId="14" fillId="2" borderId="8" xfId="0" applyNumberFormat="1" applyFont="1" applyFill="1" applyBorder="1" applyAlignment="1">
      <alignment horizontal="center" vertical="center"/>
    </xf>
    <xf numFmtId="165" fontId="14" fillId="2" borderId="9" xfId="0" applyNumberFormat="1" applyFont="1" applyFill="1" applyBorder="1" applyAlignment="1">
      <alignment horizontal="center" vertical="center"/>
    </xf>
    <xf numFmtId="0" fontId="17" fillId="7" borderId="4" xfId="0" applyFont="1" applyFill="1" applyBorder="1" applyAlignment="1" applyProtection="1">
      <alignment horizontal="center" vertical="center"/>
      <protection locked="0"/>
    </xf>
    <xf numFmtId="0" fontId="18" fillId="7" borderId="5" xfId="0" applyFont="1" applyFill="1" applyBorder="1" applyAlignment="1" applyProtection="1">
      <alignment horizontal="center" vertical="center"/>
      <protection locked="0"/>
    </xf>
    <xf numFmtId="0" fontId="18" fillId="7" borderId="6" xfId="0" applyFont="1" applyFill="1" applyBorder="1" applyAlignment="1" applyProtection="1">
      <alignment horizontal="center" vertical="center"/>
      <protection locked="0"/>
    </xf>
    <xf numFmtId="0" fontId="3" fillId="7" borderId="26" xfId="0" applyFont="1" applyFill="1" applyBorder="1" applyAlignment="1" applyProtection="1">
      <alignment horizontal="center" vertical="center"/>
      <protection locked="0"/>
    </xf>
    <xf numFmtId="0" fontId="3" fillId="7" borderId="1" xfId="0" applyFont="1" applyFill="1" applyBorder="1" applyAlignment="1" applyProtection="1">
      <alignment horizontal="center" vertical="center"/>
      <protection locked="0"/>
    </xf>
    <xf numFmtId="164" fontId="4" fillId="11" borderId="1" xfId="0" applyNumberFormat="1" applyFont="1" applyFill="1" applyBorder="1" applyAlignment="1" applyProtection="1">
      <alignment horizontal="center" vertical="center"/>
      <protection locked="0"/>
    </xf>
    <xf numFmtId="164" fontId="4" fillId="11" borderId="27" xfId="0" applyNumberFormat="1" applyFont="1" applyFill="1" applyBorder="1" applyAlignment="1" applyProtection="1">
      <alignment horizontal="center" vertical="center"/>
      <protection locked="0"/>
    </xf>
    <xf numFmtId="0" fontId="3" fillId="7" borderId="28" xfId="0" applyFont="1" applyFill="1" applyBorder="1" applyAlignment="1" applyProtection="1">
      <alignment horizontal="center" vertical="center"/>
      <protection locked="0"/>
    </xf>
    <xf numFmtId="0" fontId="3" fillId="7" borderId="29" xfId="0" applyFont="1" applyFill="1" applyBorder="1" applyAlignment="1" applyProtection="1">
      <alignment horizontal="center" vertical="center"/>
      <protection locked="0"/>
    </xf>
    <xf numFmtId="165" fontId="4" fillId="11" borderId="29" xfId="0" applyNumberFormat="1" applyFont="1" applyFill="1" applyBorder="1" applyAlignment="1" applyProtection="1">
      <alignment horizontal="center" vertical="center"/>
      <protection locked="0"/>
    </xf>
    <xf numFmtId="165" fontId="4" fillId="11" borderId="30" xfId="0" applyNumberFormat="1" applyFont="1" applyFill="1" applyBorder="1" applyAlignment="1" applyProtection="1">
      <alignment horizontal="center" vertical="center"/>
      <protection locked="0"/>
    </xf>
    <xf numFmtId="0" fontId="20" fillId="23" borderId="4" xfId="0" applyFont="1" applyFill="1" applyBorder="1" applyAlignment="1">
      <alignment horizontal="center" vertical="center"/>
    </xf>
    <xf numFmtId="0" fontId="20" fillId="23" borderId="5" xfId="0" applyFont="1" applyFill="1" applyBorder="1" applyAlignment="1">
      <alignment horizontal="center" vertical="center"/>
    </xf>
    <xf numFmtId="0" fontId="20" fillId="23" borderId="6" xfId="0" applyFont="1" applyFill="1" applyBorder="1" applyAlignment="1">
      <alignment horizontal="center" vertical="center"/>
    </xf>
    <xf numFmtId="0" fontId="20" fillId="23" borderId="21" xfId="0" applyFont="1" applyFill="1" applyBorder="1" applyAlignment="1">
      <alignment horizontal="center" vertical="center"/>
    </xf>
    <xf numFmtId="0" fontId="20" fillId="23" borderId="0" xfId="0" applyFont="1" applyFill="1" applyAlignment="1">
      <alignment horizontal="center" vertical="center"/>
    </xf>
    <xf numFmtId="0" fontId="20" fillId="23" borderId="22" xfId="0" applyFont="1" applyFill="1" applyBorder="1" applyAlignment="1">
      <alignment horizontal="center" vertical="center"/>
    </xf>
    <xf numFmtId="0" fontId="3" fillId="12" borderId="4" xfId="0" applyFont="1" applyFill="1" applyBorder="1" applyAlignment="1">
      <alignment horizontal="center" vertical="center"/>
    </xf>
    <xf numFmtId="0" fontId="3" fillId="12" borderId="5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21" xfId="0" applyFont="1" applyFill="1" applyBorder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0" fontId="3" fillId="12" borderId="22" xfId="0" applyFont="1" applyFill="1" applyBorder="1" applyAlignment="1">
      <alignment horizontal="center" vertical="center"/>
    </xf>
    <xf numFmtId="0" fontId="3" fillId="12" borderId="7" xfId="0" applyFont="1" applyFill="1" applyBorder="1" applyAlignment="1">
      <alignment horizontal="center" vertical="center"/>
    </xf>
    <xf numFmtId="0" fontId="3" fillId="12" borderId="8" xfId="0" applyFont="1" applyFill="1" applyBorder="1" applyAlignment="1">
      <alignment horizontal="center" vertical="center"/>
    </xf>
    <xf numFmtId="0" fontId="3" fillId="12" borderId="9" xfId="0" applyFont="1" applyFill="1" applyBorder="1" applyAlignment="1">
      <alignment horizontal="center" vertical="center"/>
    </xf>
    <xf numFmtId="168" fontId="0" fillId="8" borderId="33" xfId="1" applyNumberFormat="1" applyFont="1" applyFill="1" applyBorder="1" applyAlignment="1" applyProtection="1">
      <alignment horizontal="center" vertical="center"/>
      <protection locked="0"/>
    </xf>
    <xf numFmtId="168" fontId="0" fillId="8" borderId="34" xfId="1" applyNumberFormat="1" applyFont="1" applyFill="1" applyBorder="1" applyAlignment="1" applyProtection="1">
      <alignment horizontal="center" vertical="center"/>
      <protection locked="0"/>
    </xf>
    <xf numFmtId="165" fontId="4" fillId="9" borderId="29" xfId="0" applyNumberFormat="1" applyFont="1" applyFill="1" applyBorder="1" applyAlignment="1" applyProtection="1">
      <alignment horizontal="center" vertical="center"/>
      <protection locked="0"/>
    </xf>
    <xf numFmtId="165" fontId="4" fillId="9" borderId="30" xfId="0" applyNumberFormat="1" applyFont="1" applyFill="1" applyBorder="1" applyAlignment="1" applyProtection="1">
      <alignment horizontal="center" vertical="center"/>
      <protection locked="0"/>
    </xf>
    <xf numFmtId="0" fontId="4" fillId="12" borderId="4" xfId="0" applyFont="1" applyFill="1" applyBorder="1" applyAlignment="1" applyProtection="1">
      <alignment horizontal="center" vertical="center"/>
      <protection locked="0"/>
    </xf>
    <xf numFmtId="0" fontId="4" fillId="12" borderId="5" xfId="0" applyFont="1" applyFill="1" applyBorder="1" applyAlignment="1" applyProtection="1">
      <alignment horizontal="center" vertical="center"/>
      <protection locked="0"/>
    </xf>
    <xf numFmtId="0" fontId="4" fillId="12" borderId="6" xfId="0" applyFont="1" applyFill="1" applyBorder="1" applyAlignment="1" applyProtection="1">
      <alignment horizontal="center" vertical="center"/>
      <protection locked="0"/>
    </xf>
    <xf numFmtId="0" fontId="19" fillId="19" borderId="23" xfId="0" applyFont="1" applyFill="1" applyBorder="1" applyAlignment="1" applyProtection="1">
      <alignment horizontal="center" vertical="center"/>
      <protection locked="0"/>
    </xf>
    <xf numFmtId="0" fontId="19" fillId="19" borderId="24" xfId="0" applyFont="1" applyFill="1" applyBorder="1" applyAlignment="1" applyProtection="1">
      <alignment horizontal="center" vertical="center"/>
      <protection locked="0"/>
    </xf>
    <xf numFmtId="0" fontId="19" fillId="19" borderId="25" xfId="0" applyFont="1" applyFill="1" applyBorder="1" applyAlignment="1" applyProtection="1">
      <alignment horizontal="center" vertical="center"/>
      <protection locked="0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22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4" fillId="16" borderId="4" xfId="0" applyFont="1" applyFill="1" applyBorder="1" applyAlignment="1">
      <alignment horizontal="center" vertical="center"/>
    </xf>
    <xf numFmtId="0" fontId="4" fillId="16" borderId="5" xfId="0" applyFont="1" applyFill="1" applyBorder="1" applyAlignment="1">
      <alignment horizontal="center" vertical="center"/>
    </xf>
    <xf numFmtId="0" fontId="4" fillId="16" borderId="6" xfId="0" applyFont="1" applyFill="1" applyBorder="1" applyAlignment="1">
      <alignment horizontal="center" vertical="center"/>
    </xf>
    <xf numFmtId="0" fontId="17" fillId="15" borderId="4" xfId="0" applyFont="1" applyFill="1" applyBorder="1" applyAlignment="1">
      <alignment horizontal="center" vertical="center"/>
    </xf>
    <xf numFmtId="0" fontId="18" fillId="15" borderId="5" xfId="0" applyFont="1" applyFill="1" applyBorder="1" applyAlignment="1">
      <alignment horizontal="center" vertical="center"/>
    </xf>
    <xf numFmtId="0" fontId="18" fillId="15" borderId="6" xfId="0" applyFont="1" applyFill="1" applyBorder="1" applyAlignment="1">
      <alignment horizontal="center" vertical="center"/>
    </xf>
    <xf numFmtId="0" fontId="16" fillId="16" borderId="26" xfId="0" applyFont="1" applyFill="1" applyBorder="1" applyAlignment="1" applyProtection="1">
      <alignment horizontal="center" vertical="center"/>
      <protection locked="0"/>
    </xf>
    <xf numFmtId="0" fontId="16" fillId="16" borderId="1" xfId="0" applyFont="1" applyFill="1" applyBorder="1" applyAlignment="1" applyProtection="1">
      <alignment horizontal="center" vertical="center"/>
      <protection locked="0"/>
    </xf>
    <xf numFmtId="172" fontId="4" fillId="3" borderId="33" xfId="0" applyNumberFormat="1" applyFont="1" applyFill="1" applyBorder="1" applyAlignment="1" applyProtection="1">
      <alignment horizontal="center" vertical="center"/>
      <protection locked="0"/>
    </xf>
    <xf numFmtId="172" fontId="4" fillId="3" borderId="34" xfId="0" applyNumberFormat="1" applyFont="1" applyFill="1" applyBorder="1" applyAlignment="1" applyProtection="1">
      <alignment horizontal="center" vertical="center"/>
      <protection locked="0"/>
    </xf>
    <xf numFmtId="0" fontId="3" fillId="15" borderId="26" xfId="0" applyFont="1" applyFill="1" applyBorder="1" applyAlignment="1" applyProtection="1">
      <alignment horizontal="center" vertical="center"/>
      <protection locked="0"/>
    </xf>
    <xf numFmtId="0" fontId="3" fillId="15" borderId="1" xfId="0" applyFont="1" applyFill="1" applyBorder="1" applyAlignment="1" applyProtection="1">
      <alignment horizontal="center" vertical="center"/>
      <protection locked="0"/>
    </xf>
    <xf numFmtId="178" fontId="4" fillId="9" borderId="1" xfId="0" applyNumberFormat="1" applyFont="1" applyFill="1" applyBorder="1" applyAlignment="1" applyProtection="1">
      <alignment horizontal="center" vertical="center"/>
      <protection locked="0"/>
    </xf>
    <xf numFmtId="178" fontId="4" fillId="9" borderId="27" xfId="0" applyNumberFormat="1" applyFont="1" applyFill="1" applyBorder="1" applyAlignment="1" applyProtection="1">
      <alignment horizontal="center" vertical="center"/>
      <protection locked="0"/>
    </xf>
    <xf numFmtId="0" fontId="24" fillId="23" borderId="4" xfId="0" applyFont="1" applyFill="1" applyBorder="1" applyAlignment="1">
      <alignment horizontal="center" vertical="center"/>
    </xf>
    <xf numFmtId="0" fontId="24" fillId="23" borderId="5" xfId="0" applyFont="1" applyFill="1" applyBorder="1" applyAlignment="1">
      <alignment horizontal="center" vertical="center"/>
    </xf>
    <xf numFmtId="0" fontId="24" fillId="23" borderId="6" xfId="0" applyFont="1" applyFill="1" applyBorder="1" applyAlignment="1">
      <alignment horizontal="center" vertical="center"/>
    </xf>
    <xf numFmtId="0" fontId="16" fillId="16" borderId="28" xfId="0" applyFont="1" applyFill="1" applyBorder="1" applyAlignment="1" applyProtection="1">
      <alignment horizontal="center" vertical="center"/>
      <protection locked="0"/>
    </xf>
    <xf numFmtId="0" fontId="16" fillId="16" borderId="29" xfId="0" applyFont="1" applyFill="1" applyBorder="1" applyAlignment="1" applyProtection="1">
      <alignment horizontal="center" vertical="center"/>
      <protection locked="0"/>
    </xf>
    <xf numFmtId="165" fontId="4" fillId="3" borderId="42" xfId="0" applyNumberFormat="1" applyFont="1" applyFill="1" applyBorder="1" applyAlignment="1" applyProtection="1">
      <alignment horizontal="center" vertical="center"/>
      <protection locked="0"/>
    </xf>
    <xf numFmtId="165" fontId="4" fillId="3" borderId="43" xfId="0" applyNumberFormat="1" applyFont="1" applyFill="1" applyBorder="1" applyAlignment="1" applyProtection="1">
      <alignment horizontal="center" vertical="center"/>
      <protection locked="0"/>
    </xf>
    <xf numFmtId="0" fontId="13" fillId="16" borderId="23" xfId="0" applyFont="1" applyFill="1" applyBorder="1" applyAlignment="1" applyProtection="1">
      <alignment horizontal="center" vertical="center"/>
      <protection locked="0"/>
    </xf>
    <xf numFmtId="0" fontId="13" fillId="16" borderId="28" xfId="0" applyFont="1" applyFill="1" applyBorder="1" applyAlignment="1" applyProtection="1">
      <alignment horizontal="center" vertical="center"/>
      <protection locked="0"/>
    </xf>
    <xf numFmtId="0" fontId="23" fillId="12" borderId="4" xfId="0" applyFont="1" applyFill="1" applyBorder="1" applyAlignment="1">
      <alignment horizontal="left" vertical="top" wrapText="1"/>
    </xf>
    <xf numFmtId="0" fontId="0" fillId="12" borderId="5" xfId="0" applyFill="1" applyBorder="1" applyAlignment="1">
      <alignment horizontal="left" vertical="top" wrapText="1"/>
    </xf>
    <xf numFmtId="0" fontId="0" fillId="12" borderId="6" xfId="0" applyFill="1" applyBorder="1" applyAlignment="1">
      <alignment horizontal="left" vertical="top" wrapText="1"/>
    </xf>
    <xf numFmtId="0" fontId="0" fillId="12" borderId="21" xfId="0" applyFill="1" applyBorder="1" applyAlignment="1">
      <alignment horizontal="left" vertical="top" wrapText="1"/>
    </xf>
    <xf numFmtId="0" fontId="0" fillId="12" borderId="0" xfId="0" applyFill="1" applyAlignment="1">
      <alignment horizontal="left" vertical="top" wrapText="1"/>
    </xf>
    <xf numFmtId="0" fontId="0" fillId="12" borderId="22" xfId="0" applyFill="1" applyBorder="1" applyAlignment="1">
      <alignment horizontal="left" vertical="top" wrapText="1"/>
    </xf>
    <xf numFmtId="0" fontId="0" fillId="12" borderId="7" xfId="0" applyFill="1" applyBorder="1" applyAlignment="1">
      <alignment horizontal="left" vertical="top" wrapText="1"/>
    </xf>
    <xf numFmtId="0" fontId="0" fillId="12" borderId="8" xfId="0" applyFill="1" applyBorder="1" applyAlignment="1">
      <alignment horizontal="left" vertical="top" wrapText="1"/>
    </xf>
    <xf numFmtId="0" fontId="0" fillId="12" borderId="9" xfId="0" applyFill="1" applyBorder="1" applyAlignment="1">
      <alignment horizontal="left" vertical="top" wrapText="1"/>
    </xf>
    <xf numFmtId="0" fontId="27" fillId="2" borderId="4" xfId="0" applyFont="1" applyFill="1" applyBorder="1" applyAlignment="1">
      <alignment horizontal="center" vertical="center"/>
    </xf>
    <xf numFmtId="0" fontId="27" fillId="2" borderId="5" xfId="0" applyFont="1" applyFill="1" applyBorder="1" applyAlignment="1">
      <alignment horizontal="center" vertical="center"/>
    </xf>
    <xf numFmtId="0" fontId="27" fillId="2" borderId="6" xfId="0" applyFont="1" applyFill="1" applyBorder="1" applyAlignment="1">
      <alignment horizontal="center" vertical="center"/>
    </xf>
    <xf numFmtId="0" fontId="27" fillId="2" borderId="7" xfId="0" applyFont="1" applyFill="1" applyBorder="1" applyAlignment="1">
      <alignment horizontal="center" vertical="center"/>
    </xf>
    <xf numFmtId="0" fontId="27" fillId="2" borderId="8" xfId="0" applyFont="1" applyFill="1" applyBorder="1" applyAlignment="1">
      <alignment horizontal="center" vertical="center"/>
    </xf>
    <xf numFmtId="0" fontId="27" fillId="2" borderId="9" xfId="0" applyFont="1" applyFill="1" applyBorder="1" applyAlignment="1">
      <alignment horizontal="center" vertical="center"/>
    </xf>
    <xf numFmtId="0" fontId="4" fillId="12" borderId="4" xfId="0" applyFont="1" applyFill="1" applyBorder="1" applyAlignment="1">
      <alignment horizontal="center" vertical="center"/>
    </xf>
    <xf numFmtId="0" fontId="4" fillId="12" borderId="5" xfId="0" applyFont="1" applyFill="1" applyBorder="1" applyAlignment="1">
      <alignment horizontal="center" vertical="center"/>
    </xf>
    <xf numFmtId="0" fontId="4" fillId="12" borderId="6" xfId="0" applyFont="1" applyFill="1" applyBorder="1" applyAlignment="1">
      <alignment horizontal="center" vertical="center"/>
    </xf>
    <xf numFmtId="0" fontId="4" fillId="12" borderId="7" xfId="0" applyFont="1" applyFill="1" applyBorder="1" applyAlignment="1">
      <alignment horizontal="center" vertical="center"/>
    </xf>
    <xf numFmtId="0" fontId="4" fillId="12" borderId="8" xfId="0" applyFont="1" applyFill="1" applyBorder="1" applyAlignment="1">
      <alignment horizontal="center" vertical="center"/>
    </xf>
    <xf numFmtId="0" fontId="4" fillId="12" borderId="9" xfId="0" applyFont="1" applyFill="1" applyBorder="1" applyAlignment="1">
      <alignment horizontal="center" vertical="center"/>
    </xf>
    <xf numFmtId="167" fontId="9" fillId="2" borderId="4" xfId="0" applyNumberFormat="1" applyFont="1" applyFill="1" applyBorder="1" applyAlignment="1">
      <alignment horizontal="center" vertical="center"/>
    </xf>
    <xf numFmtId="0" fontId="11" fillId="12" borderId="13" xfId="0" applyFont="1" applyFill="1" applyBorder="1" applyAlignment="1" applyProtection="1">
      <alignment horizontal="center" vertical="center"/>
      <protection locked="0"/>
    </xf>
    <xf numFmtId="0" fontId="11" fillId="12" borderId="41" xfId="0" applyFont="1" applyFill="1" applyBorder="1" applyAlignment="1" applyProtection="1">
      <alignment horizontal="center" vertical="center"/>
      <protection locked="0"/>
    </xf>
    <xf numFmtId="0" fontId="11" fillId="12" borderId="14" xfId="0" applyFont="1" applyFill="1" applyBorder="1" applyAlignment="1" applyProtection="1">
      <alignment horizontal="center" vertical="center"/>
      <protection locked="0"/>
    </xf>
    <xf numFmtId="169" fontId="11" fillId="2" borderId="13" xfId="0" applyNumberFormat="1" applyFont="1" applyFill="1" applyBorder="1" applyAlignment="1" applyProtection="1">
      <alignment horizontal="center" vertical="center"/>
      <protection locked="0"/>
    </xf>
    <xf numFmtId="169" fontId="11" fillId="2" borderId="41" xfId="0" applyNumberFormat="1" applyFont="1" applyFill="1" applyBorder="1" applyAlignment="1" applyProtection="1">
      <alignment horizontal="center" vertical="center"/>
      <protection locked="0"/>
    </xf>
    <xf numFmtId="169" fontId="11" fillId="2" borderId="14" xfId="0" applyNumberFormat="1" applyFont="1" applyFill="1" applyBorder="1" applyAlignment="1" applyProtection="1">
      <alignment horizontal="center" vertical="center"/>
      <protection locked="0"/>
    </xf>
    <xf numFmtId="0" fontId="16" fillId="12" borderId="13" xfId="0" applyFont="1" applyFill="1" applyBorder="1" applyAlignment="1" applyProtection="1">
      <alignment horizontal="center" vertical="center"/>
      <protection locked="0"/>
    </xf>
    <xf numFmtId="0" fontId="16" fillId="12" borderId="41" xfId="0" applyFont="1" applyFill="1" applyBorder="1" applyAlignment="1" applyProtection="1">
      <alignment horizontal="center" vertical="center"/>
      <protection locked="0"/>
    </xf>
    <xf numFmtId="0" fontId="16" fillId="12" borderId="14" xfId="0" applyFont="1" applyFill="1" applyBorder="1" applyAlignment="1" applyProtection="1">
      <alignment horizontal="center" vertical="center"/>
      <protection locked="0"/>
    </xf>
    <xf numFmtId="0" fontId="8" fillId="12" borderId="13" xfId="0" applyFont="1" applyFill="1" applyBorder="1" applyAlignment="1" applyProtection="1">
      <alignment horizontal="center" vertical="center"/>
      <protection locked="0"/>
    </xf>
    <xf numFmtId="0" fontId="8" fillId="12" borderId="41" xfId="0" applyFont="1" applyFill="1" applyBorder="1" applyAlignment="1" applyProtection="1">
      <alignment horizontal="center" vertical="center"/>
      <protection locked="0"/>
    </xf>
    <xf numFmtId="0" fontId="8" fillId="12" borderId="14" xfId="0" applyFont="1" applyFill="1" applyBorder="1" applyAlignment="1" applyProtection="1">
      <alignment horizontal="center" vertical="center"/>
      <protection locked="0"/>
    </xf>
    <xf numFmtId="174" fontId="11" fillId="2" borderId="13" xfId="0" applyNumberFormat="1" applyFont="1" applyFill="1" applyBorder="1" applyAlignment="1" applyProtection="1">
      <alignment horizontal="center" vertical="center"/>
      <protection locked="0"/>
    </xf>
    <xf numFmtId="174" fontId="11" fillId="2" borderId="41" xfId="0" applyNumberFormat="1" applyFont="1" applyFill="1" applyBorder="1" applyAlignment="1" applyProtection="1">
      <alignment horizontal="center" vertical="center"/>
      <protection locked="0"/>
    </xf>
    <xf numFmtId="174" fontId="11" fillId="2" borderId="14" xfId="0" applyNumberFormat="1" applyFont="1" applyFill="1" applyBorder="1" applyAlignment="1" applyProtection="1">
      <alignment horizontal="center" vertical="center"/>
      <protection locked="0"/>
    </xf>
    <xf numFmtId="173" fontId="10" fillId="2" borderId="4" xfId="0" applyNumberFormat="1" applyFont="1" applyFill="1" applyBorder="1" applyAlignment="1" applyProtection="1">
      <alignment horizontal="center" vertical="center"/>
      <protection locked="0"/>
    </xf>
    <xf numFmtId="173" fontId="10" fillId="2" borderId="6" xfId="0" applyNumberFormat="1" applyFont="1" applyFill="1" applyBorder="1" applyAlignment="1" applyProtection="1">
      <alignment horizontal="center" vertical="center"/>
      <protection locked="0"/>
    </xf>
    <xf numFmtId="173" fontId="10" fillId="2" borderId="21" xfId="0" applyNumberFormat="1" applyFont="1" applyFill="1" applyBorder="1" applyAlignment="1" applyProtection="1">
      <alignment horizontal="center" vertical="center"/>
      <protection locked="0"/>
    </xf>
    <xf numFmtId="173" fontId="10" fillId="2" borderId="22" xfId="0" applyNumberFormat="1" applyFont="1" applyFill="1" applyBorder="1" applyAlignment="1" applyProtection="1">
      <alignment horizontal="center" vertical="center"/>
      <protection locked="0"/>
    </xf>
    <xf numFmtId="173" fontId="10" fillId="2" borderId="7" xfId="0" applyNumberFormat="1" applyFont="1" applyFill="1" applyBorder="1" applyAlignment="1" applyProtection="1">
      <alignment horizontal="center" vertical="center"/>
      <protection locked="0"/>
    </xf>
    <xf numFmtId="173" fontId="10" fillId="2" borderId="9" xfId="0" applyNumberFormat="1" applyFont="1" applyFill="1" applyBorder="1" applyAlignment="1" applyProtection="1">
      <alignment horizontal="center" vertical="center"/>
      <protection locked="0"/>
    </xf>
    <xf numFmtId="167" fontId="2" fillId="15" borderId="31" xfId="1" applyNumberFormat="1" applyFont="1" applyFill="1" applyBorder="1" applyAlignment="1" applyProtection="1">
      <alignment horizontal="center" vertical="center"/>
      <protection locked="0"/>
    </xf>
    <xf numFmtId="167" fontId="2" fillId="15" borderId="32" xfId="1" applyNumberFormat="1" applyFont="1" applyFill="1" applyBorder="1" applyAlignment="1" applyProtection="1">
      <alignment horizontal="center" vertical="center"/>
      <protection locked="0"/>
    </xf>
    <xf numFmtId="0" fontId="4" fillId="9" borderId="13" xfId="0" applyFont="1" applyFill="1" applyBorder="1" applyAlignment="1" applyProtection="1">
      <alignment horizontal="center" vertical="center"/>
      <protection locked="0"/>
    </xf>
    <xf numFmtId="0" fontId="4" fillId="9" borderId="14" xfId="0" applyFont="1" applyFill="1" applyBorder="1" applyAlignment="1" applyProtection="1">
      <alignment horizontal="center" vertical="center"/>
      <protection locked="0"/>
    </xf>
    <xf numFmtId="167" fontId="2" fillId="15" borderId="31" xfId="1" applyNumberFormat="1" applyFont="1" applyFill="1" applyBorder="1" applyAlignment="1">
      <alignment horizontal="center" vertical="center"/>
    </xf>
    <xf numFmtId="167" fontId="2" fillId="15" borderId="32" xfId="1" applyNumberFormat="1" applyFont="1" applyFill="1" applyBorder="1" applyAlignment="1">
      <alignment horizontal="center" vertical="center"/>
    </xf>
    <xf numFmtId="169" fontId="0" fillId="8" borderId="33" xfId="0" applyNumberFormat="1" applyFill="1" applyBorder="1" applyAlignment="1" applyProtection="1">
      <alignment horizontal="center" vertical="center"/>
      <protection locked="0"/>
    </xf>
    <xf numFmtId="169" fontId="0" fillId="8" borderId="34" xfId="0" applyNumberFormat="1" applyFill="1" applyBorder="1" applyAlignment="1" applyProtection="1">
      <alignment horizontal="center" vertical="center"/>
      <protection locked="0"/>
    </xf>
    <xf numFmtId="0" fontId="8" fillId="2" borderId="4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3" fillId="12" borderId="10" xfId="0" applyFont="1" applyFill="1" applyBorder="1" applyAlignment="1" applyProtection="1">
      <alignment horizontal="center" vertical="center"/>
      <protection locked="0"/>
    </xf>
    <xf numFmtId="0" fontId="3" fillId="12" borderId="11" xfId="0" applyFont="1" applyFill="1" applyBorder="1" applyAlignment="1" applyProtection="1">
      <alignment horizontal="center" vertical="center"/>
      <protection locked="0"/>
    </xf>
    <xf numFmtId="0" fontId="3" fillId="12" borderId="12" xfId="0" applyFont="1" applyFill="1" applyBorder="1" applyAlignment="1" applyProtection="1">
      <alignment horizontal="center" vertical="center"/>
      <protection locked="0"/>
    </xf>
    <xf numFmtId="0" fontId="3" fillId="12" borderId="13" xfId="0" applyFont="1" applyFill="1" applyBorder="1" applyAlignment="1" applyProtection="1">
      <alignment horizontal="center" vertical="center"/>
      <protection locked="0"/>
    </xf>
    <xf numFmtId="0" fontId="3" fillId="12" borderId="14" xfId="0" applyFont="1" applyFill="1" applyBorder="1" applyAlignment="1" applyProtection="1">
      <alignment horizontal="center" vertical="center"/>
      <protection locked="0"/>
    </xf>
    <xf numFmtId="169" fontId="4" fillId="2" borderId="13" xfId="0" applyNumberFormat="1" applyFont="1" applyFill="1" applyBorder="1" applyAlignment="1" applyProtection="1">
      <alignment horizontal="center" vertical="center"/>
      <protection locked="0"/>
    </xf>
    <xf numFmtId="169" fontId="4" fillId="2" borderId="14" xfId="0" applyNumberFormat="1" applyFont="1" applyFill="1" applyBorder="1" applyAlignment="1" applyProtection="1">
      <alignment horizontal="center" vertical="center"/>
      <protection locked="0"/>
    </xf>
    <xf numFmtId="0" fontId="8" fillId="15" borderId="35" xfId="0" applyFont="1" applyFill="1" applyBorder="1" applyAlignment="1" applyProtection="1">
      <alignment horizontal="center" vertical="center"/>
      <protection locked="0"/>
    </xf>
    <xf numFmtId="0" fontId="8" fillId="15" borderId="36" xfId="0" applyFont="1" applyFill="1" applyBorder="1" applyAlignment="1" applyProtection="1">
      <alignment horizontal="center" vertical="center"/>
      <protection locked="0"/>
    </xf>
    <xf numFmtId="167" fontId="0" fillId="8" borderId="37" xfId="1" applyNumberFormat="1" applyFont="1" applyFill="1" applyBorder="1" applyAlignment="1" applyProtection="1">
      <alignment horizontal="center" vertical="center"/>
      <protection locked="0"/>
    </xf>
    <xf numFmtId="167" fontId="0" fillId="8" borderId="38" xfId="1" applyNumberFormat="1" applyFont="1" applyFill="1" applyBorder="1" applyAlignment="1" applyProtection="1">
      <alignment horizontal="center" vertical="center"/>
      <protection locked="0"/>
    </xf>
    <xf numFmtId="167" fontId="0" fillId="8" borderId="44" xfId="1" applyNumberFormat="1" applyFont="1" applyFill="1" applyBorder="1" applyAlignment="1" applyProtection="1">
      <alignment horizontal="center" vertical="center"/>
      <protection locked="0"/>
    </xf>
    <xf numFmtId="167" fontId="0" fillId="8" borderId="45" xfId="1" applyNumberFormat="1" applyFont="1" applyFill="1" applyBorder="1" applyAlignment="1" applyProtection="1">
      <alignment horizontal="center" vertical="center"/>
      <protection locked="0"/>
    </xf>
    <xf numFmtId="167" fontId="0" fillId="8" borderId="8" xfId="1" applyNumberFormat="1" applyFont="1" applyFill="1" applyBorder="1" applyAlignment="1" applyProtection="1">
      <alignment horizontal="center" vertical="center"/>
      <protection locked="0"/>
    </xf>
    <xf numFmtId="167" fontId="0" fillId="8" borderId="9" xfId="1" applyNumberFormat="1" applyFont="1" applyFill="1" applyBorder="1" applyAlignment="1" applyProtection="1">
      <alignment horizontal="center" vertical="center"/>
      <protection locked="0"/>
    </xf>
    <xf numFmtId="167" fontId="5" fillId="2" borderId="4" xfId="0" applyNumberFormat="1" applyFont="1" applyFill="1" applyBorder="1" applyAlignment="1">
      <alignment horizontal="center" vertical="center"/>
    </xf>
    <xf numFmtId="167" fontId="5" fillId="2" borderId="5" xfId="0" applyNumberFormat="1" applyFont="1" applyFill="1" applyBorder="1" applyAlignment="1">
      <alignment horizontal="center" vertical="center"/>
    </xf>
    <xf numFmtId="167" fontId="5" fillId="2" borderId="6" xfId="0" applyNumberFormat="1" applyFont="1" applyFill="1" applyBorder="1" applyAlignment="1">
      <alignment horizontal="center" vertical="center"/>
    </xf>
    <xf numFmtId="167" fontId="5" fillId="2" borderId="21" xfId="0" applyNumberFormat="1" applyFont="1" applyFill="1" applyBorder="1" applyAlignment="1">
      <alignment horizontal="center" vertical="center"/>
    </xf>
    <xf numFmtId="167" fontId="5" fillId="2" borderId="0" xfId="0" applyNumberFormat="1" applyFont="1" applyFill="1" applyAlignment="1">
      <alignment horizontal="center" vertical="center"/>
    </xf>
    <xf numFmtId="167" fontId="5" fillId="2" borderId="22" xfId="0" applyNumberFormat="1" applyFont="1" applyFill="1" applyBorder="1" applyAlignment="1">
      <alignment horizontal="center" vertical="center"/>
    </xf>
    <xf numFmtId="167" fontId="5" fillId="2" borderId="7" xfId="0" applyNumberFormat="1" applyFont="1" applyFill="1" applyBorder="1" applyAlignment="1">
      <alignment horizontal="center" vertical="center"/>
    </xf>
    <xf numFmtId="167" fontId="5" fillId="2" borderId="8" xfId="0" applyNumberFormat="1" applyFont="1" applyFill="1" applyBorder="1" applyAlignment="1">
      <alignment horizontal="center" vertical="center"/>
    </xf>
    <xf numFmtId="167" fontId="5" fillId="2" borderId="9" xfId="0" applyNumberFormat="1" applyFont="1" applyFill="1" applyBorder="1" applyAlignment="1">
      <alignment horizontal="center" vertical="center"/>
    </xf>
    <xf numFmtId="0" fontId="4" fillId="12" borderId="10" xfId="0" applyFont="1" applyFill="1" applyBorder="1" applyAlignment="1">
      <alignment horizontal="center" vertical="center"/>
    </xf>
    <xf numFmtId="0" fontId="4" fillId="12" borderId="11" xfId="0" applyFont="1" applyFill="1" applyBorder="1" applyAlignment="1">
      <alignment horizontal="center" vertical="center"/>
    </xf>
    <xf numFmtId="0" fontId="4" fillId="12" borderId="12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9" fillId="2" borderId="21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22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168" fontId="0" fillId="8" borderId="42" xfId="1" applyNumberFormat="1" applyFont="1" applyFill="1" applyBorder="1" applyAlignment="1" applyProtection="1">
      <alignment horizontal="center" vertical="center"/>
      <protection locked="0"/>
    </xf>
    <xf numFmtId="168" fontId="0" fillId="8" borderId="43" xfId="1" applyNumberFormat="1" applyFont="1" applyFill="1" applyBorder="1" applyAlignment="1" applyProtection="1">
      <alignment horizontal="center" vertical="center"/>
      <protection locked="0"/>
    </xf>
  </cellXfs>
  <cellStyles count="4">
    <cellStyle name="Prozent" xfId="3" builtinId="5"/>
    <cellStyle name="Standard" xfId="0" builtinId="0"/>
    <cellStyle name="Währung" xfId="1" builtinId="4"/>
    <cellStyle name="Währung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1232203</xdr:colOff>
      <xdr:row>81</xdr:row>
      <xdr:rowOff>130009</xdr:rowOff>
    </xdr:from>
    <xdr:to>
      <xdr:col>10</xdr:col>
      <xdr:colOff>985764</xdr:colOff>
      <xdr:row>89</xdr:row>
      <xdr:rowOff>114206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83442" y="15684485"/>
          <a:ext cx="1864178" cy="1701722"/>
        </a:xfrm>
        <a:prstGeom prst="rect">
          <a:avLst/>
        </a:prstGeom>
      </xdr:spPr>
    </xdr:pic>
    <xdr:clientData/>
  </xdr:twoCellAnchor>
  <xdr:twoCellAnchor editAs="oneCell">
    <xdr:from>
      <xdr:col>9</xdr:col>
      <xdr:colOff>444930</xdr:colOff>
      <xdr:row>119</xdr:row>
      <xdr:rowOff>195793</xdr:rowOff>
    </xdr:from>
    <xdr:to>
      <xdr:col>9</xdr:col>
      <xdr:colOff>1124119</xdr:colOff>
      <xdr:row>128</xdr:row>
      <xdr:rowOff>84672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32042" y="11033126"/>
          <a:ext cx="679189" cy="2005542"/>
        </a:xfrm>
        <a:prstGeom prst="rect">
          <a:avLst/>
        </a:prstGeom>
      </xdr:spPr>
    </xdr:pic>
    <xdr:clientData/>
  </xdr:twoCellAnchor>
  <xdr:twoCellAnchor editAs="oneCell">
    <xdr:from>
      <xdr:col>9</xdr:col>
      <xdr:colOff>1442859</xdr:colOff>
      <xdr:row>119</xdr:row>
      <xdr:rowOff>201084</xdr:rowOff>
    </xdr:from>
    <xdr:to>
      <xdr:col>10</xdr:col>
      <xdr:colOff>20678</xdr:colOff>
      <xdr:row>128</xdr:row>
      <xdr:rowOff>102312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14068" y="22870584"/>
          <a:ext cx="683901" cy="2007310"/>
        </a:xfrm>
        <a:prstGeom prst="rect">
          <a:avLst/>
        </a:prstGeom>
      </xdr:spPr>
    </xdr:pic>
    <xdr:clientData/>
  </xdr:twoCellAnchor>
  <xdr:twoCellAnchor editAs="oneCell">
    <xdr:from>
      <xdr:col>10</xdr:col>
      <xdr:colOff>344463</xdr:colOff>
      <xdr:row>119</xdr:row>
      <xdr:rowOff>203100</xdr:rowOff>
    </xdr:from>
    <xdr:to>
      <xdr:col>10</xdr:col>
      <xdr:colOff>1023652</xdr:colOff>
      <xdr:row>128</xdr:row>
      <xdr:rowOff>91979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06320" y="22996576"/>
          <a:ext cx="679189" cy="2005546"/>
        </a:xfrm>
        <a:prstGeom prst="rect">
          <a:avLst/>
        </a:prstGeom>
      </xdr:spPr>
    </xdr:pic>
    <xdr:clientData/>
  </xdr:twoCellAnchor>
  <xdr:twoCellAnchor>
    <xdr:from>
      <xdr:col>11</xdr:col>
      <xdr:colOff>411237</xdr:colOff>
      <xdr:row>115</xdr:row>
      <xdr:rowOff>60476</xdr:rowOff>
    </xdr:from>
    <xdr:to>
      <xdr:col>20</xdr:col>
      <xdr:colOff>683380</xdr:colOff>
      <xdr:row>115</xdr:row>
      <xdr:rowOff>169333</xdr:rowOff>
    </xdr:to>
    <xdr:cxnSp macro="">
      <xdr:nvCxnSpPr>
        <xdr:cNvPr id="4" name="Gerade Verbindung mit Pfeil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H="1" flipV="1">
          <a:off x="16534190" y="10637762"/>
          <a:ext cx="1052286" cy="10885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1247322</xdr:colOff>
      <xdr:row>19</xdr:row>
      <xdr:rowOff>80847</xdr:rowOff>
    </xdr:from>
    <xdr:to>
      <xdr:col>10</xdr:col>
      <xdr:colOff>771075</xdr:colOff>
      <xdr:row>27</xdr:row>
      <xdr:rowOff>105152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98561" y="3806180"/>
          <a:ext cx="1634370" cy="1499925"/>
        </a:xfrm>
        <a:prstGeom prst="rect">
          <a:avLst/>
        </a:prstGeom>
      </xdr:spPr>
    </xdr:pic>
    <xdr:clientData/>
  </xdr:twoCellAnchor>
  <xdr:twoCellAnchor editAs="oneCell">
    <xdr:from>
      <xdr:col>10</xdr:col>
      <xdr:colOff>82211</xdr:colOff>
      <xdr:row>34</xdr:row>
      <xdr:rowOff>18144</xdr:rowOff>
    </xdr:from>
    <xdr:to>
      <xdr:col>11</xdr:col>
      <xdr:colOff>256356</xdr:colOff>
      <xdr:row>46</xdr:row>
      <xdr:rowOff>114906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844068" y="6579811"/>
          <a:ext cx="2368374" cy="2727476"/>
        </a:xfrm>
        <a:prstGeom prst="rect">
          <a:avLst/>
        </a:prstGeom>
      </xdr:spPr>
    </xdr:pic>
    <xdr:clientData/>
  </xdr:twoCellAnchor>
  <xdr:twoCellAnchor editAs="oneCell">
    <xdr:from>
      <xdr:col>9</xdr:col>
      <xdr:colOff>999876</xdr:colOff>
      <xdr:row>155</xdr:row>
      <xdr:rowOff>31137</xdr:rowOff>
    </xdr:from>
    <xdr:to>
      <xdr:col>10</xdr:col>
      <xdr:colOff>857250</xdr:colOff>
      <xdr:row>159</xdr:row>
      <xdr:rowOff>284993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168439" y="32082762"/>
          <a:ext cx="1809998" cy="1634980"/>
        </a:xfrm>
        <a:prstGeom prst="rect">
          <a:avLst/>
        </a:prstGeom>
      </xdr:spPr>
    </xdr:pic>
    <xdr:clientData/>
  </xdr:twoCellAnchor>
  <xdr:twoCellAnchor editAs="oneCell">
    <xdr:from>
      <xdr:col>2</xdr:col>
      <xdr:colOff>193525</xdr:colOff>
      <xdr:row>2</xdr:row>
      <xdr:rowOff>102809</xdr:rowOff>
    </xdr:from>
    <xdr:to>
      <xdr:col>2</xdr:col>
      <xdr:colOff>1124859</xdr:colOff>
      <xdr:row>3</xdr:row>
      <xdr:rowOff>665622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36B5AAD6-2170-B07C-2AD1-7432322A2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1572" y="477762"/>
          <a:ext cx="931334" cy="847050"/>
        </a:xfrm>
        <a:prstGeom prst="rect">
          <a:avLst/>
        </a:prstGeom>
      </xdr:spPr>
    </xdr:pic>
    <xdr:clientData/>
  </xdr:twoCellAnchor>
  <xdr:twoCellAnchor editAs="oneCell">
    <xdr:from>
      <xdr:col>10</xdr:col>
      <xdr:colOff>991809</xdr:colOff>
      <xdr:row>2</xdr:row>
      <xdr:rowOff>72571</xdr:rowOff>
    </xdr:from>
    <xdr:to>
      <xdr:col>10</xdr:col>
      <xdr:colOff>1923143</xdr:colOff>
      <xdr:row>3</xdr:row>
      <xdr:rowOff>635384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27D0F85E-2F0F-4CF9-AEB2-86F5C0253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289762" y="447524"/>
          <a:ext cx="931334" cy="847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E173"/>
  <sheetViews>
    <sheetView showGridLines="0" tabSelected="1" zoomScale="70" zoomScaleNormal="70" workbookViewId="0">
      <selection activeCell="L27" sqref="L27"/>
    </sheetView>
  </sheetViews>
  <sheetFormatPr baseColWidth="10" defaultRowHeight="14.35" x14ac:dyDescent="0.5"/>
  <cols>
    <col min="1" max="1" width="3" customWidth="1"/>
    <col min="2" max="2" width="7.64453125" customWidth="1"/>
    <col min="3" max="3" width="41.5859375" customWidth="1"/>
    <col min="4" max="4" width="32.29296875" customWidth="1"/>
    <col min="5" max="5" width="27" customWidth="1"/>
    <col min="6" max="6" width="41.1171875" customWidth="1"/>
    <col min="7" max="7" width="13.703125" customWidth="1"/>
    <col min="8" max="8" width="38.87890625" customWidth="1"/>
    <col min="9" max="9" width="33.5859375" customWidth="1"/>
    <col min="10" max="10" width="29.29296875" customWidth="1"/>
    <col min="11" max="11" width="30.87890625" customWidth="1"/>
    <col min="13" max="20" width="10.87890625" hidden="1" customWidth="1"/>
  </cols>
  <sheetData>
    <row r="1" spans="2:16" ht="14.7" thickBot="1" x14ac:dyDescent="0.55000000000000004"/>
    <row r="2" spans="2:16" ht="14.7" thickBot="1" x14ac:dyDescent="0.55000000000000004">
      <c r="B2" s="4"/>
      <c r="C2" s="5"/>
      <c r="D2" s="5"/>
      <c r="E2" s="5"/>
      <c r="F2" s="5"/>
      <c r="G2" s="5"/>
      <c r="H2" s="5"/>
      <c r="I2" s="5"/>
      <c r="J2" s="5"/>
      <c r="K2" s="5"/>
      <c r="L2" s="6"/>
    </row>
    <row r="3" spans="2:16" ht="22.35" customHeight="1" x14ac:dyDescent="0.5">
      <c r="B3" s="7"/>
      <c r="C3" s="273" t="s">
        <v>83</v>
      </c>
      <c r="D3" s="274"/>
      <c r="E3" s="274"/>
      <c r="F3" s="274"/>
      <c r="G3" s="274"/>
      <c r="H3" s="274"/>
      <c r="I3" s="274"/>
      <c r="J3" s="274"/>
      <c r="K3" s="275"/>
      <c r="L3" s="8"/>
    </row>
    <row r="4" spans="2:16" ht="59" customHeight="1" thickBot="1" x14ac:dyDescent="0.55000000000000004">
      <c r="B4" s="7"/>
      <c r="C4" s="276"/>
      <c r="D4" s="277"/>
      <c r="E4" s="277"/>
      <c r="F4" s="277"/>
      <c r="G4" s="277"/>
      <c r="H4" s="277"/>
      <c r="I4" s="277"/>
      <c r="J4" s="277"/>
      <c r="K4" s="278"/>
      <c r="L4" s="8"/>
    </row>
    <row r="5" spans="2:16" ht="14.7" thickBot="1" x14ac:dyDescent="0.55000000000000004">
      <c r="B5" s="7"/>
      <c r="L5" s="8"/>
    </row>
    <row r="6" spans="2:16" ht="14.45" customHeight="1" x14ac:dyDescent="0.5">
      <c r="B6" s="7"/>
      <c r="C6" s="286" t="s">
        <v>80</v>
      </c>
      <c r="D6" s="289">
        <v>25</v>
      </c>
      <c r="E6" s="56"/>
      <c r="F6" s="292" t="s">
        <v>81</v>
      </c>
      <c r="G6" s="301">
        <v>20</v>
      </c>
      <c r="H6" s="302"/>
      <c r="I6" s="56"/>
      <c r="J6" s="295" t="s">
        <v>82</v>
      </c>
      <c r="K6" s="298">
        <v>10</v>
      </c>
      <c r="L6" s="8"/>
    </row>
    <row r="7" spans="2:16" x14ac:dyDescent="0.5">
      <c r="B7" s="7"/>
      <c r="C7" s="287"/>
      <c r="D7" s="290"/>
      <c r="E7" s="56"/>
      <c r="F7" s="293"/>
      <c r="G7" s="303"/>
      <c r="H7" s="304"/>
      <c r="I7" s="56"/>
      <c r="J7" s="296"/>
      <c r="K7" s="299"/>
      <c r="L7" s="8"/>
    </row>
    <row r="8" spans="2:16" ht="14.7" thickBot="1" x14ac:dyDescent="0.55000000000000004">
      <c r="B8" s="7"/>
      <c r="C8" s="288"/>
      <c r="D8" s="291"/>
      <c r="E8" s="56"/>
      <c r="F8" s="294"/>
      <c r="G8" s="305"/>
      <c r="H8" s="306"/>
      <c r="I8" s="56"/>
      <c r="J8" s="297"/>
      <c r="K8" s="300"/>
      <c r="L8" s="8"/>
    </row>
    <row r="9" spans="2:16" x14ac:dyDescent="0.5">
      <c r="B9" s="7"/>
      <c r="C9" s="57"/>
      <c r="D9" s="58"/>
      <c r="E9" s="56"/>
      <c r="F9" s="56"/>
      <c r="G9" s="56"/>
      <c r="H9" s="56"/>
      <c r="I9" s="56"/>
      <c r="J9" s="56"/>
      <c r="K9" s="56"/>
      <c r="L9" s="8"/>
    </row>
    <row r="10" spans="2:16" ht="14.7" thickBot="1" x14ac:dyDescent="0.55000000000000004">
      <c r="B10" s="7"/>
      <c r="C10" s="56"/>
      <c r="D10" s="56"/>
      <c r="E10" s="56"/>
      <c r="F10" s="56"/>
      <c r="G10" s="56"/>
      <c r="H10" s="56"/>
      <c r="I10" s="56"/>
      <c r="J10" s="56"/>
      <c r="K10" s="56"/>
      <c r="L10" s="8"/>
    </row>
    <row r="11" spans="2:16" ht="23.7" thickBot="1" x14ac:dyDescent="0.55000000000000004">
      <c r="B11" s="7"/>
      <c r="C11" s="59" t="s">
        <v>84</v>
      </c>
      <c r="D11" s="60" t="s">
        <v>98</v>
      </c>
      <c r="E11" s="61" t="s">
        <v>85</v>
      </c>
      <c r="F11" s="60" t="s">
        <v>129</v>
      </c>
      <c r="G11" s="56"/>
      <c r="H11" s="62" t="s">
        <v>99</v>
      </c>
      <c r="I11" s="63" t="s">
        <v>98</v>
      </c>
      <c r="J11" s="64" t="s">
        <v>85</v>
      </c>
      <c r="K11" s="65" t="s">
        <v>138</v>
      </c>
      <c r="L11" s="8"/>
      <c r="N11" t="s">
        <v>84</v>
      </c>
      <c r="O11" t="s">
        <v>112</v>
      </c>
      <c r="P11" t="s">
        <v>113</v>
      </c>
    </row>
    <row r="12" spans="2:16" ht="14.7" thickBot="1" x14ac:dyDescent="0.55000000000000004">
      <c r="B12" s="7"/>
      <c r="C12" s="66"/>
      <c r="D12" s="56"/>
      <c r="E12" s="56"/>
      <c r="F12" s="67"/>
      <c r="G12" s="56"/>
      <c r="H12" s="68" t="s">
        <v>105</v>
      </c>
      <c r="I12" s="69">
        <v>0.4</v>
      </c>
      <c r="J12" s="70">
        <v>1000</v>
      </c>
      <c r="K12" s="71">
        <f>D6*G6*2</f>
        <v>1000</v>
      </c>
      <c r="L12" s="8"/>
      <c r="N12" s="1">
        <f>IFERROR(D14*E14*F14,0)</f>
        <v>750</v>
      </c>
      <c r="O12" s="1">
        <f>IFERROR(D39/E39*F39,0)</f>
        <v>14.196428571428571</v>
      </c>
      <c r="P12">
        <f>IFERROR(I12*J12,0)</f>
        <v>400</v>
      </c>
    </row>
    <row r="13" spans="2:16" ht="14.7" thickBot="1" x14ac:dyDescent="0.55000000000000004">
      <c r="B13" s="7"/>
      <c r="C13" s="60" t="s">
        <v>86</v>
      </c>
      <c r="D13" s="56"/>
      <c r="E13" s="56"/>
      <c r="F13" s="67"/>
      <c r="G13" s="56"/>
      <c r="H13" s="68" t="s">
        <v>104</v>
      </c>
      <c r="I13" s="69">
        <v>1</v>
      </c>
      <c r="J13" s="72">
        <v>500</v>
      </c>
      <c r="K13" s="73">
        <f>20*D6</f>
        <v>500</v>
      </c>
      <c r="L13" s="8"/>
      <c r="N13" s="1">
        <f t="shared" ref="N13:N34" si="0">IFERROR(D15*E15*F15,0)</f>
        <v>160</v>
      </c>
      <c r="O13" s="1">
        <f t="shared" ref="O13:O17" si="1">IFERROR(D40/E40*F40,0)</f>
        <v>3</v>
      </c>
      <c r="P13">
        <f t="shared" ref="P13:P19" si="2">IFERROR(I13*J13,0)</f>
        <v>500</v>
      </c>
    </row>
    <row r="14" spans="2:16" x14ac:dyDescent="0.5">
      <c r="B14" s="7"/>
      <c r="C14" s="74" t="s">
        <v>185</v>
      </c>
      <c r="D14" s="75">
        <v>150</v>
      </c>
      <c r="E14" s="76">
        <v>25</v>
      </c>
      <c r="F14" s="77">
        <v>0.2</v>
      </c>
      <c r="G14" s="56"/>
      <c r="H14" s="68" t="s">
        <v>137</v>
      </c>
      <c r="I14" s="69">
        <v>1.2</v>
      </c>
      <c r="J14" s="72">
        <v>500</v>
      </c>
      <c r="K14" s="73">
        <f>20*D6</f>
        <v>500</v>
      </c>
      <c r="L14" s="8"/>
      <c r="N14" s="1">
        <f t="shared" si="0"/>
        <v>0</v>
      </c>
      <c r="O14" s="1">
        <f t="shared" si="1"/>
        <v>0.875</v>
      </c>
      <c r="P14">
        <f t="shared" si="2"/>
        <v>600</v>
      </c>
    </row>
    <row r="15" spans="2:16" x14ac:dyDescent="0.5">
      <c r="B15" s="7"/>
      <c r="C15" s="68" t="s">
        <v>88</v>
      </c>
      <c r="D15" s="75">
        <v>32</v>
      </c>
      <c r="E15" s="76">
        <v>25</v>
      </c>
      <c r="F15" s="77">
        <v>0.2</v>
      </c>
      <c r="G15" s="56"/>
      <c r="H15" s="68" t="s">
        <v>127</v>
      </c>
      <c r="I15" s="69">
        <v>2.5</v>
      </c>
      <c r="J15" s="72">
        <v>20</v>
      </c>
      <c r="K15" s="73">
        <f>ROUNDUP(((D6*G6)/12.5),0)</f>
        <v>40</v>
      </c>
      <c r="L15" s="8"/>
      <c r="N15" s="1">
        <f t="shared" si="0"/>
        <v>0</v>
      </c>
      <c r="O15" s="1">
        <f t="shared" si="1"/>
        <v>3.0550000000000002</v>
      </c>
      <c r="P15">
        <f t="shared" si="2"/>
        <v>50</v>
      </c>
    </row>
    <row r="16" spans="2:16" x14ac:dyDescent="0.5">
      <c r="B16" s="7"/>
      <c r="C16" s="68" t="s">
        <v>87</v>
      </c>
      <c r="D16" s="75">
        <v>0</v>
      </c>
      <c r="E16" s="76">
        <v>0</v>
      </c>
      <c r="F16" s="77">
        <v>0</v>
      </c>
      <c r="G16" s="56"/>
      <c r="H16" s="68" t="s">
        <v>107</v>
      </c>
      <c r="I16" s="69">
        <v>0</v>
      </c>
      <c r="J16" s="72">
        <v>0</v>
      </c>
      <c r="K16" s="73"/>
      <c r="L16" s="8"/>
      <c r="N16" s="1">
        <f t="shared" si="0"/>
        <v>0</v>
      </c>
      <c r="O16" s="1">
        <f t="shared" si="1"/>
        <v>0</v>
      </c>
      <c r="P16">
        <f t="shared" si="2"/>
        <v>0</v>
      </c>
    </row>
    <row r="17" spans="2:16" x14ac:dyDescent="0.5">
      <c r="B17" s="7"/>
      <c r="C17" s="68" t="s">
        <v>89</v>
      </c>
      <c r="D17" s="75">
        <v>0</v>
      </c>
      <c r="E17" s="76">
        <v>0</v>
      </c>
      <c r="F17" s="77">
        <v>0</v>
      </c>
      <c r="G17" s="56"/>
      <c r="H17" s="68" t="s">
        <v>128</v>
      </c>
      <c r="I17" s="69">
        <v>0</v>
      </c>
      <c r="J17" s="72">
        <v>0</v>
      </c>
      <c r="K17" s="73"/>
      <c r="L17" s="8"/>
      <c r="N17" s="1">
        <f t="shared" si="0"/>
        <v>0</v>
      </c>
      <c r="O17" s="1">
        <f t="shared" si="1"/>
        <v>0</v>
      </c>
      <c r="P17">
        <f t="shared" si="2"/>
        <v>0</v>
      </c>
    </row>
    <row r="18" spans="2:16" x14ac:dyDescent="0.5">
      <c r="B18" s="7"/>
      <c r="C18" s="68" t="s">
        <v>90</v>
      </c>
      <c r="D18" s="75">
        <v>0</v>
      </c>
      <c r="E18" s="76">
        <v>0</v>
      </c>
      <c r="F18" s="77">
        <v>0</v>
      </c>
      <c r="G18" s="56"/>
      <c r="H18" s="68" t="s">
        <v>184</v>
      </c>
      <c r="I18" s="69"/>
      <c r="J18" s="72"/>
      <c r="K18" s="73"/>
      <c r="L18" s="8"/>
      <c r="N18" s="1">
        <f t="shared" si="0"/>
        <v>0</v>
      </c>
      <c r="O18" s="1">
        <f>IFERROR(D45/E45*F45,0)</f>
        <v>0</v>
      </c>
      <c r="P18">
        <f t="shared" si="2"/>
        <v>0</v>
      </c>
    </row>
    <row r="19" spans="2:16" ht="14.7" thickBot="1" x14ac:dyDescent="0.55000000000000004">
      <c r="B19" s="7"/>
      <c r="C19" s="68" t="s">
        <v>91</v>
      </c>
      <c r="D19" s="75">
        <v>0</v>
      </c>
      <c r="E19" s="76">
        <v>0</v>
      </c>
      <c r="F19" s="77">
        <v>0</v>
      </c>
      <c r="G19" s="56"/>
      <c r="H19" s="78" t="s">
        <v>94</v>
      </c>
      <c r="I19" s="79"/>
      <c r="J19" s="80"/>
      <c r="K19" s="73"/>
      <c r="L19" s="8"/>
      <c r="N19" s="1">
        <f t="shared" si="0"/>
        <v>0</v>
      </c>
      <c r="O19" s="1">
        <f>IFERROR(D46/E46*F46,0)</f>
        <v>0</v>
      </c>
      <c r="P19">
        <f t="shared" si="2"/>
        <v>0</v>
      </c>
    </row>
    <row r="20" spans="2:16" ht="14.7" thickBot="1" x14ac:dyDescent="0.55000000000000004">
      <c r="B20" s="7"/>
      <c r="C20" s="68" t="s">
        <v>106</v>
      </c>
      <c r="D20" s="75">
        <v>0</v>
      </c>
      <c r="E20" s="76">
        <v>0</v>
      </c>
      <c r="F20" s="77">
        <v>0</v>
      </c>
      <c r="G20" s="56"/>
      <c r="H20" s="56"/>
      <c r="I20" s="81"/>
      <c r="J20" s="82"/>
      <c r="K20" s="56"/>
      <c r="L20" s="8"/>
      <c r="N20" s="1">
        <f t="shared" si="0"/>
        <v>0</v>
      </c>
      <c r="O20" s="1"/>
    </row>
    <row r="21" spans="2:16" x14ac:dyDescent="0.5">
      <c r="B21" s="7"/>
      <c r="C21" s="68" t="s">
        <v>122</v>
      </c>
      <c r="D21" s="75">
        <v>0</v>
      </c>
      <c r="E21" s="76">
        <v>0</v>
      </c>
      <c r="F21" s="77">
        <v>0</v>
      </c>
      <c r="G21" s="56"/>
      <c r="H21" s="83" t="s">
        <v>121</v>
      </c>
      <c r="I21" s="84" t="s">
        <v>108</v>
      </c>
      <c r="J21" s="82"/>
      <c r="K21" s="56"/>
      <c r="L21" s="8"/>
      <c r="N21" s="1">
        <f t="shared" si="0"/>
        <v>0</v>
      </c>
      <c r="O21" s="1"/>
    </row>
    <row r="22" spans="2:16" x14ac:dyDescent="0.5">
      <c r="B22" s="7"/>
      <c r="C22" s="68" t="s">
        <v>184</v>
      </c>
      <c r="D22" s="75"/>
      <c r="E22" s="76"/>
      <c r="F22" s="77"/>
      <c r="G22" s="56"/>
      <c r="H22" s="68" t="s">
        <v>144</v>
      </c>
      <c r="I22" s="85">
        <v>40</v>
      </c>
      <c r="J22" s="82"/>
      <c r="K22" s="56"/>
      <c r="L22" s="8"/>
      <c r="N22" s="1">
        <f t="shared" si="0"/>
        <v>0</v>
      </c>
    </row>
    <row r="23" spans="2:16" x14ac:dyDescent="0.5">
      <c r="B23" s="7"/>
      <c r="C23" s="68" t="s">
        <v>94</v>
      </c>
      <c r="D23" s="75"/>
      <c r="E23" s="76"/>
      <c r="F23" s="77"/>
      <c r="G23" s="56"/>
      <c r="H23" s="68" t="s">
        <v>143</v>
      </c>
      <c r="I23" s="85">
        <v>0</v>
      </c>
      <c r="J23" s="82"/>
      <c r="K23" s="56"/>
      <c r="L23" s="8"/>
      <c r="N23" s="1">
        <f t="shared" si="0"/>
        <v>0</v>
      </c>
    </row>
    <row r="24" spans="2:16" x14ac:dyDescent="0.5">
      <c r="B24" s="7"/>
      <c r="C24" s="68" t="s">
        <v>94</v>
      </c>
      <c r="D24" s="75"/>
      <c r="E24" s="76"/>
      <c r="F24" s="77"/>
      <c r="G24" s="56"/>
      <c r="H24" s="68" t="s">
        <v>133</v>
      </c>
      <c r="I24" s="85">
        <v>0</v>
      </c>
      <c r="J24" s="82"/>
      <c r="K24" s="56"/>
      <c r="L24" s="8"/>
      <c r="N24" s="1">
        <f t="shared" si="0"/>
        <v>0</v>
      </c>
    </row>
    <row r="25" spans="2:16" ht="14.7" thickBot="1" x14ac:dyDescent="0.55000000000000004">
      <c r="B25" s="7"/>
      <c r="C25" s="66"/>
      <c r="D25" s="81"/>
      <c r="E25" s="82"/>
      <c r="F25" s="86"/>
      <c r="G25" s="56"/>
      <c r="H25" s="68" t="s">
        <v>120</v>
      </c>
      <c r="I25" s="85">
        <v>0</v>
      </c>
      <c r="J25" s="56"/>
      <c r="K25" s="56"/>
      <c r="L25" s="8"/>
      <c r="N25" s="1">
        <f t="shared" si="0"/>
        <v>580</v>
      </c>
    </row>
    <row r="26" spans="2:16" ht="14.7" thickBot="1" x14ac:dyDescent="0.55000000000000004">
      <c r="B26" s="7"/>
      <c r="C26" s="60" t="s">
        <v>139</v>
      </c>
      <c r="D26" s="81"/>
      <c r="E26" s="82"/>
      <c r="F26" s="86"/>
      <c r="G26" s="56"/>
      <c r="H26" s="68" t="s">
        <v>184</v>
      </c>
      <c r="I26" s="85"/>
      <c r="J26" s="56"/>
      <c r="K26" s="56"/>
      <c r="L26" s="8"/>
      <c r="N26" s="1">
        <f>IFERROR(D28*E28*F28,0)</f>
        <v>12</v>
      </c>
    </row>
    <row r="27" spans="2:16" ht="14.7" thickBot="1" x14ac:dyDescent="0.55000000000000004">
      <c r="B27" s="7"/>
      <c r="C27" s="74" t="s">
        <v>92</v>
      </c>
      <c r="D27" s="75">
        <v>2900</v>
      </c>
      <c r="E27" s="76">
        <v>1</v>
      </c>
      <c r="F27" s="77">
        <v>0.2</v>
      </c>
      <c r="G27" s="56"/>
      <c r="H27" s="78" t="s">
        <v>94</v>
      </c>
      <c r="I27" s="87"/>
      <c r="J27" s="56"/>
      <c r="K27" s="56"/>
      <c r="L27" s="8"/>
      <c r="N27" s="1">
        <f t="shared" si="0"/>
        <v>56</v>
      </c>
    </row>
    <row r="28" spans="2:16" ht="14.7" thickBot="1" x14ac:dyDescent="0.55000000000000004">
      <c r="B28" s="7"/>
      <c r="C28" s="68" t="s">
        <v>93</v>
      </c>
      <c r="D28" s="75">
        <v>120</v>
      </c>
      <c r="E28" s="76">
        <v>1</v>
      </c>
      <c r="F28" s="77">
        <v>0.1</v>
      </c>
      <c r="G28" s="56"/>
      <c r="H28" s="56"/>
      <c r="I28" s="56"/>
      <c r="J28" s="56"/>
      <c r="K28" s="56"/>
      <c r="L28" s="8"/>
      <c r="N28" s="1">
        <f t="shared" si="0"/>
        <v>0</v>
      </c>
    </row>
    <row r="29" spans="2:16" ht="20.7" x14ac:dyDescent="0.5">
      <c r="B29" s="7"/>
      <c r="C29" s="68" t="s">
        <v>95</v>
      </c>
      <c r="D29" s="75">
        <v>560</v>
      </c>
      <c r="E29" s="76">
        <v>1</v>
      </c>
      <c r="F29" s="77">
        <v>0.1</v>
      </c>
      <c r="G29" s="56"/>
      <c r="H29" s="88" t="s">
        <v>39</v>
      </c>
      <c r="I29" s="89" t="s">
        <v>45</v>
      </c>
      <c r="J29" s="307" t="s">
        <v>147</v>
      </c>
      <c r="K29" s="308"/>
      <c r="L29" s="8"/>
      <c r="N29" s="1">
        <f t="shared" si="0"/>
        <v>0</v>
      </c>
    </row>
    <row r="30" spans="2:16" x14ac:dyDescent="0.5">
      <c r="B30" s="7"/>
      <c r="C30" s="68" t="s">
        <v>96</v>
      </c>
      <c r="D30" s="75">
        <v>0</v>
      </c>
      <c r="E30" s="76">
        <v>0</v>
      </c>
      <c r="F30" s="77">
        <v>0</v>
      </c>
      <c r="G30" s="56"/>
      <c r="H30" s="90" t="s">
        <v>92</v>
      </c>
      <c r="I30" s="91">
        <v>280</v>
      </c>
      <c r="J30" s="222">
        <v>300</v>
      </c>
      <c r="K30" s="223"/>
      <c r="L30" s="8"/>
      <c r="N30" s="1">
        <f t="shared" si="0"/>
        <v>0</v>
      </c>
    </row>
    <row r="31" spans="2:16" x14ac:dyDescent="0.5">
      <c r="B31" s="7"/>
      <c r="C31" s="68" t="s">
        <v>97</v>
      </c>
      <c r="D31" s="75">
        <v>0</v>
      </c>
      <c r="E31" s="76">
        <v>0</v>
      </c>
      <c r="F31" s="77">
        <v>0</v>
      </c>
      <c r="G31" s="56"/>
      <c r="H31" s="90" t="s">
        <v>97</v>
      </c>
      <c r="I31" s="91">
        <v>150</v>
      </c>
      <c r="J31" s="222">
        <v>120</v>
      </c>
      <c r="K31" s="223"/>
      <c r="L31" s="8"/>
      <c r="N31" s="1">
        <f t="shared" si="0"/>
        <v>0</v>
      </c>
    </row>
    <row r="32" spans="2:16" x14ac:dyDescent="0.5">
      <c r="B32" s="7"/>
      <c r="C32" s="68" t="s">
        <v>124</v>
      </c>
      <c r="D32" s="75">
        <v>0</v>
      </c>
      <c r="E32" s="76">
        <v>0</v>
      </c>
      <c r="F32" s="77">
        <v>0</v>
      </c>
      <c r="G32" s="56"/>
      <c r="H32" s="90" t="s">
        <v>125</v>
      </c>
      <c r="I32" s="91">
        <v>1100</v>
      </c>
      <c r="J32" s="222">
        <v>60</v>
      </c>
      <c r="K32" s="223"/>
      <c r="L32" s="8"/>
      <c r="N32" s="1">
        <f t="shared" si="0"/>
        <v>0</v>
      </c>
    </row>
    <row r="33" spans="2:14" x14ac:dyDescent="0.5">
      <c r="B33" s="7"/>
      <c r="C33" s="68" t="s">
        <v>140</v>
      </c>
      <c r="D33" s="75">
        <v>0</v>
      </c>
      <c r="E33" s="76">
        <v>0</v>
      </c>
      <c r="F33" s="77">
        <v>0</v>
      </c>
      <c r="G33" s="56"/>
      <c r="H33" s="90" t="s">
        <v>142</v>
      </c>
      <c r="I33" s="91">
        <v>3000</v>
      </c>
      <c r="J33" s="222">
        <v>360</v>
      </c>
      <c r="K33" s="223"/>
      <c r="L33" s="8"/>
      <c r="N33" s="1">
        <f t="shared" si="0"/>
        <v>0</v>
      </c>
    </row>
    <row r="34" spans="2:14" ht="14.7" thickBot="1" x14ac:dyDescent="0.55000000000000004">
      <c r="B34" s="7"/>
      <c r="C34" s="68" t="s">
        <v>141</v>
      </c>
      <c r="D34" s="75">
        <v>0</v>
      </c>
      <c r="E34" s="76">
        <v>0</v>
      </c>
      <c r="F34" s="77">
        <v>0</v>
      </c>
      <c r="G34" s="56"/>
      <c r="H34" s="92" t="s">
        <v>94</v>
      </c>
      <c r="I34" s="91"/>
      <c r="J34" s="222"/>
      <c r="K34" s="223"/>
      <c r="L34" s="8"/>
      <c r="N34" s="1">
        <f t="shared" si="0"/>
        <v>0</v>
      </c>
    </row>
    <row r="35" spans="2:14" ht="14.7" thickBot="1" x14ac:dyDescent="0.55000000000000004">
      <c r="B35" s="7"/>
      <c r="C35" s="68" t="s">
        <v>184</v>
      </c>
      <c r="D35" s="75"/>
      <c r="E35" s="76"/>
      <c r="F35" s="77"/>
      <c r="G35" s="56"/>
      <c r="H35" s="56"/>
      <c r="I35" s="56"/>
      <c r="J35" s="56"/>
      <c r="K35" s="56"/>
      <c r="L35" s="8"/>
    </row>
    <row r="36" spans="2:14" ht="18.45" customHeight="1" thickBot="1" x14ac:dyDescent="0.55000000000000004">
      <c r="B36" s="7"/>
      <c r="C36" s="78" t="s">
        <v>94</v>
      </c>
      <c r="D36" s="93"/>
      <c r="E36" s="94"/>
      <c r="F36" s="95"/>
      <c r="G36" s="56"/>
      <c r="H36" s="262" t="s">
        <v>130</v>
      </c>
      <c r="I36" s="96" t="s">
        <v>131</v>
      </c>
      <c r="J36" s="97" t="s">
        <v>136</v>
      </c>
      <c r="K36" s="56"/>
      <c r="L36" s="8"/>
      <c r="N36">
        <f>IFERROR((I30*(J30/60)/1000),0)</f>
        <v>1.4</v>
      </c>
    </row>
    <row r="37" spans="2:14" ht="14.7" thickBot="1" x14ac:dyDescent="0.55000000000000004">
      <c r="B37" s="7"/>
      <c r="C37" s="56"/>
      <c r="D37" s="56"/>
      <c r="E37" s="56"/>
      <c r="F37" s="56"/>
      <c r="G37" s="56"/>
      <c r="H37" s="263"/>
      <c r="I37" s="98">
        <v>0.33</v>
      </c>
      <c r="J37" s="99">
        <v>20</v>
      </c>
      <c r="K37" s="56"/>
      <c r="L37" s="8"/>
      <c r="N37">
        <f t="shared" ref="N37:N39" si="3">IFERROR((I31*(J31/60)/1000),0)</f>
        <v>0.3</v>
      </c>
    </row>
    <row r="38" spans="2:14" ht="24.75" customHeight="1" thickBot="1" x14ac:dyDescent="0.55000000000000004">
      <c r="B38" s="7"/>
      <c r="C38" s="100" t="s">
        <v>134</v>
      </c>
      <c r="D38" s="101" t="s">
        <v>103</v>
      </c>
      <c r="E38" s="101" t="s">
        <v>100</v>
      </c>
      <c r="F38" s="84" t="s">
        <v>132</v>
      </c>
      <c r="G38" s="56"/>
      <c r="H38" s="56"/>
      <c r="I38" s="56"/>
      <c r="J38" s="56"/>
      <c r="K38" s="56"/>
      <c r="L38" s="8"/>
      <c r="N38">
        <f t="shared" si="3"/>
        <v>1.1000000000000001</v>
      </c>
    </row>
    <row r="39" spans="2:14" ht="14.7" thickBot="1" x14ac:dyDescent="0.55000000000000004">
      <c r="B39" s="7"/>
      <c r="C39" s="74" t="s">
        <v>123</v>
      </c>
      <c r="D39" s="102">
        <v>26.5</v>
      </c>
      <c r="E39" s="103">
        <v>28</v>
      </c>
      <c r="F39" s="103">
        <v>15</v>
      </c>
      <c r="G39" s="56"/>
      <c r="H39" s="309" t="s">
        <v>109</v>
      </c>
      <c r="I39" s="104" t="s">
        <v>110</v>
      </c>
      <c r="J39" s="105" t="s">
        <v>111</v>
      </c>
      <c r="K39" s="56"/>
      <c r="L39" s="8"/>
      <c r="N39">
        <f t="shared" si="3"/>
        <v>18</v>
      </c>
    </row>
    <row r="40" spans="2:14" ht="14.7" thickBot="1" x14ac:dyDescent="0.55000000000000004">
      <c r="B40" s="7"/>
      <c r="C40" s="68" t="s">
        <v>146</v>
      </c>
      <c r="D40" s="102">
        <v>15</v>
      </c>
      <c r="E40" s="103">
        <v>12.5</v>
      </c>
      <c r="F40" s="103">
        <v>2.5</v>
      </c>
      <c r="G40" s="56"/>
      <c r="H40" s="310"/>
      <c r="I40" s="106">
        <v>15</v>
      </c>
      <c r="J40" s="107">
        <v>1</v>
      </c>
      <c r="K40" s="56"/>
      <c r="L40" s="8"/>
      <c r="N40">
        <f>IFERROR((I34*(J34/60)/1000),0)</f>
        <v>0</v>
      </c>
    </row>
    <row r="41" spans="2:14" ht="14.7" thickBot="1" x14ac:dyDescent="0.55000000000000004">
      <c r="B41" s="7"/>
      <c r="C41" s="68" t="s">
        <v>102</v>
      </c>
      <c r="D41" s="102">
        <v>17.5</v>
      </c>
      <c r="E41" s="103">
        <v>1</v>
      </c>
      <c r="F41" s="103">
        <v>0.05</v>
      </c>
      <c r="G41" s="56"/>
      <c r="H41" s="56"/>
      <c r="I41" s="56"/>
      <c r="J41" s="56"/>
      <c r="K41" s="56"/>
      <c r="L41" s="8"/>
    </row>
    <row r="42" spans="2:14" ht="18.350000000000001" thickBot="1" x14ac:dyDescent="0.55000000000000004">
      <c r="B42" s="7"/>
      <c r="C42" s="68" t="s">
        <v>101</v>
      </c>
      <c r="D42" s="102">
        <v>6.11</v>
      </c>
      <c r="E42" s="103">
        <v>1</v>
      </c>
      <c r="F42" s="103">
        <v>0.5</v>
      </c>
      <c r="G42" s="56"/>
      <c r="H42" s="108" t="s">
        <v>76</v>
      </c>
      <c r="I42" s="109">
        <v>0.33</v>
      </c>
      <c r="J42" s="56"/>
      <c r="K42" s="56"/>
      <c r="L42" s="8"/>
      <c r="N42" t="s">
        <v>118</v>
      </c>
    </row>
    <row r="43" spans="2:14" ht="14.7" thickBot="1" x14ac:dyDescent="0.55000000000000004">
      <c r="B43" s="7"/>
      <c r="C43" s="68" t="s">
        <v>184</v>
      </c>
      <c r="D43" s="102"/>
      <c r="E43" s="103"/>
      <c r="F43" s="103"/>
      <c r="G43" s="56"/>
      <c r="H43" s="56"/>
      <c r="I43" s="56"/>
      <c r="J43" s="56"/>
      <c r="K43" s="56"/>
      <c r="L43" s="8"/>
      <c r="N43" s="1">
        <f>(C50+D50+E50+C53+F53)*(1+I44)+F50*(1+I46)</f>
        <v>7996.0871857142865</v>
      </c>
    </row>
    <row r="44" spans="2:14" ht="21" thickBot="1" x14ac:dyDescent="0.55000000000000004">
      <c r="B44" s="7"/>
      <c r="C44" s="68" t="s">
        <v>94</v>
      </c>
      <c r="D44" s="102"/>
      <c r="E44" s="103"/>
      <c r="F44" s="103"/>
      <c r="G44" s="56"/>
      <c r="H44" s="110" t="s">
        <v>50</v>
      </c>
      <c r="I44" s="111">
        <v>0.1</v>
      </c>
      <c r="J44" s="56"/>
      <c r="K44" s="56"/>
      <c r="L44" s="8"/>
      <c r="N44" t="s">
        <v>119</v>
      </c>
    </row>
    <row r="45" spans="2:14" ht="14.7" thickBot="1" x14ac:dyDescent="0.55000000000000004">
      <c r="B45" s="7"/>
      <c r="C45" s="68" t="s">
        <v>94</v>
      </c>
      <c r="D45" s="102"/>
      <c r="E45" s="103"/>
      <c r="F45" s="103"/>
      <c r="G45" s="56"/>
      <c r="H45" s="56"/>
      <c r="I45" s="56"/>
      <c r="J45" s="56"/>
      <c r="K45" s="56"/>
      <c r="L45" s="8"/>
      <c r="N45" s="1">
        <f>(C50+D50+E50+C53+F53)+F50</f>
        <v>7439.6247142857137</v>
      </c>
    </row>
    <row r="46" spans="2:14" ht="21" thickBot="1" x14ac:dyDescent="0.55000000000000004">
      <c r="B46" s="7"/>
      <c r="C46" s="78" t="s">
        <v>94</v>
      </c>
      <c r="D46" s="112"/>
      <c r="E46" s="103"/>
      <c r="F46" s="103"/>
      <c r="G46" s="56"/>
      <c r="H46" s="110" t="s">
        <v>49</v>
      </c>
      <c r="I46" s="111">
        <v>0.05</v>
      </c>
      <c r="J46" s="56"/>
      <c r="K46" s="56"/>
      <c r="L46" s="8"/>
    </row>
    <row r="47" spans="2:14" ht="14.7" thickBot="1" x14ac:dyDescent="0.55000000000000004">
      <c r="B47" s="7"/>
      <c r="L47" s="8"/>
    </row>
    <row r="48" spans="2:14" ht="16" thickBot="1" x14ac:dyDescent="0.55000000000000004">
      <c r="B48" s="7"/>
      <c r="C48" s="255" t="s">
        <v>169</v>
      </c>
      <c r="D48" s="256"/>
      <c r="E48" s="256"/>
      <c r="F48" s="257"/>
      <c r="L48" s="8"/>
    </row>
    <row r="49" spans="2:12" x14ac:dyDescent="0.5">
      <c r="B49" s="7"/>
      <c r="C49" s="26" t="s">
        <v>186</v>
      </c>
      <c r="D49" s="27" t="s">
        <v>135</v>
      </c>
      <c r="E49" s="27" t="s">
        <v>99</v>
      </c>
      <c r="F49" s="28" t="s">
        <v>33</v>
      </c>
      <c r="H49" s="279" t="s">
        <v>126</v>
      </c>
      <c r="I49" s="280"/>
      <c r="J49" s="280"/>
      <c r="K49" s="281"/>
      <c r="L49" s="8"/>
    </row>
    <row r="50" spans="2:12" ht="14.7" thickBot="1" x14ac:dyDescent="0.55000000000000004">
      <c r="B50" s="7"/>
      <c r="C50" s="29">
        <f>SUM(N12:N34)</f>
        <v>1558</v>
      </c>
      <c r="D50" s="30">
        <f>SUM(O12:O21)*D6</f>
        <v>528.16071428571422</v>
      </c>
      <c r="E50" s="31">
        <f>SUM(P12:P19)+(I37*J37)</f>
        <v>1556.6</v>
      </c>
      <c r="F50" s="32">
        <f>(I40*J40*K6*D6)</f>
        <v>3750</v>
      </c>
      <c r="H50" s="282"/>
      <c r="I50" s="283"/>
      <c r="J50" s="283"/>
      <c r="K50" s="284"/>
      <c r="L50" s="8"/>
    </row>
    <row r="51" spans="2:12" ht="14.7" thickBot="1" x14ac:dyDescent="0.55000000000000004">
      <c r="B51" s="7"/>
      <c r="C51" s="41"/>
      <c r="D51" s="18"/>
      <c r="E51" s="19"/>
      <c r="F51" s="42"/>
      <c r="H51" s="285">
        <f>N43/D53</f>
        <v>7.9960871857142868</v>
      </c>
      <c r="I51" s="233"/>
      <c r="J51" s="233"/>
      <c r="K51" s="234"/>
      <c r="L51" s="8"/>
    </row>
    <row r="52" spans="2:12" ht="14.7" thickBot="1" x14ac:dyDescent="0.55000000000000004">
      <c r="B52" s="7"/>
      <c r="C52" s="2" t="s">
        <v>115</v>
      </c>
      <c r="D52" s="33" t="s">
        <v>116</v>
      </c>
      <c r="E52" s="2" t="s">
        <v>47</v>
      </c>
      <c r="F52" s="34" t="s">
        <v>44</v>
      </c>
      <c r="H52" s="235"/>
      <c r="I52" s="236"/>
      <c r="J52" s="236"/>
      <c r="K52" s="237"/>
      <c r="L52" s="8"/>
    </row>
    <row r="53" spans="2:12" ht="14.7" thickBot="1" x14ac:dyDescent="0.55000000000000004">
      <c r="B53" s="7"/>
      <c r="C53" s="35">
        <f>SUM(I22:I27)</f>
        <v>40</v>
      </c>
      <c r="D53" s="36">
        <f>D6*G6*2</f>
        <v>1000</v>
      </c>
      <c r="E53" s="37">
        <f>SUM(N36:N40)</f>
        <v>20.8</v>
      </c>
      <c r="F53" s="38">
        <f>E53*I42</f>
        <v>6.8640000000000008</v>
      </c>
      <c r="H53" s="235"/>
      <c r="I53" s="236"/>
      <c r="J53" s="236"/>
      <c r="K53" s="237"/>
      <c r="L53" s="8"/>
    </row>
    <row r="54" spans="2:12" ht="14.7" thickBot="1" x14ac:dyDescent="0.55000000000000004">
      <c r="B54" s="7"/>
      <c r="C54" s="7"/>
      <c r="F54" s="8"/>
      <c r="H54" s="235"/>
      <c r="I54" s="236"/>
      <c r="J54" s="236"/>
      <c r="K54" s="237"/>
      <c r="L54" s="8"/>
    </row>
    <row r="55" spans="2:12" ht="14.7" thickBot="1" x14ac:dyDescent="0.55000000000000004">
      <c r="B55" s="7"/>
      <c r="C55" s="2" t="s">
        <v>114</v>
      </c>
      <c r="D55" s="2" t="s">
        <v>117</v>
      </c>
      <c r="E55" s="2" t="s">
        <v>75</v>
      </c>
      <c r="F55" s="2" t="s">
        <v>145</v>
      </c>
      <c r="H55" s="235"/>
      <c r="I55" s="236"/>
      <c r="J55" s="236"/>
      <c r="K55" s="237"/>
      <c r="L55" s="8"/>
    </row>
    <row r="56" spans="2:12" ht="14.7" thickBot="1" x14ac:dyDescent="0.55000000000000004">
      <c r="B56" s="7"/>
      <c r="C56" s="3">
        <f>C50+D50+E50+F50+F53+C53</f>
        <v>7439.6247142857137</v>
      </c>
      <c r="D56" s="3">
        <f>C56/D53</f>
        <v>7.4396247142857135</v>
      </c>
      <c r="E56" s="3">
        <f>N43-N45</f>
        <v>556.46247142857283</v>
      </c>
      <c r="F56" s="3">
        <f>D53*H51</f>
        <v>7996.0871857142865</v>
      </c>
      <c r="H56" s="238"/>
      <c r="I56" s="239"/>
      <c r="J56" s="239"/>
      <c r="K56" s="240"/>
      <c r="L56" s="8"/>
    </row>
    <row r="57" spans="2:12" ht="14.7" thickBot="1" x14ac:dyDescent="0.55000000000000004">
      <c r="B57" s="9"/>
      <c r="C57" s="10"/>
      <c r="D57" s="10"/>
      <c r="E57" s="10"/>
      <c r="F57" s="10"/>
      <c r="G57" s="10"/>
      <c r="H57" s="10"/>
      <c r="I57" s="10"/>
      <c r="J57" s="10"/>
      <c r="K57" s="10"/>
      <c r="L57" s="11"/>
    </row>
    <row r="60" spans="2:12" hidden="1" x14ac:dyDescent="0.5"/>
    <row r="61" spans="2:12" hidden="1" x14ac:dyDescent="0.5"/>
    <row r="62" spans="2:12" hidden="1" x14ac:dyDescent="0.5"/>
    <row r="63" spans="2:12" ht="43.7" customHeight="1" thickBot="1" x14ac:dyDescent="0.55000000000000004"/>
    <row r="64" spans="2:12" ht="14.7" thickBot="1" x14ac:dyDescent="0.55000000000000004">
      <c r="B64" s="4"/>
      <c r="C64" s="5"/>
      <c r="D64" s="5"/>
      <c r="E64" s="5"/>
      <c r="F64" s="5"/>
      <c r="G64" s="5"/>
      <c r="H64" s="5"/>
      <c r="I64" s="5"/>
      <c r="J64" s="5"/>
      <c r="K64" s="5"/>
      <c r="L64" s="6"/>
    </row>
    <row r="65" spans="2:16" ht="23.45" customHeight="1" x14ac:dyDescent="0.5">
      <c r="B65" s="7"/>
      <c r="C65" s="315" t="s">
        <v>48</v>
      </c>
      <c r="D65" s="316"/>
      <c r="E65" s="316"/>
      <c r="F65" s="316"/>
      <c r="G65" s="316"/>
      <c r="H65" s="316"/>
      <c r="I65" s="316"/>
      <c r="J65" s="316"/>
      <c r="K65" s="317"/>
      <c r="L65" s="8"/>
    </row>
    <row r="66" spans="2:16" ht="14.45" customHeight="1" thickBot="1" x14ac:dyDescent="0.55000000000000004">
      <c r="B66" s="7"/>
      <c r="C66" s="318"/>
      <c r="D66" s="319"/>
      <c r="E66" s="319"/>
      <c r="F66" s="319"/>
      <c r="G66" s="319"/>
      <c r="H66" s="319"/>
      <c r="I66" s="319"/>
      <c r="J66" s="319"/>
      <c r="K66" s="320"/>
      <c r="L66" s="8"/>
    </row>
    <row r="67" spans="2:16" ht="14.45" customHeight="1" thickBot="1" x14ac:dyDescent="0.55000000000000004">
      <c r="B67" s="7"/>
      <c r="L67" s="8"/>
    </row>
    <row r="68" spans="2:16" ht="18" x14ac:dyDescent="0.6">
      <c r="B68" s="7"/>
      <c r="C68" s="113" t="s">
        <v>20</v>
      </c>
      <c r="D68" s="114" t="s">
        <v>2</v>
      </c>
      <c r="E68" s="114" t="s">
        <v>0</v>
      </c>
      <c r="F68" s="115" t="s">
        <v>1</v>
      </c>
      <c r="H68" s="135" t="s">
        <v>21</v>
      </c>
      <c r="I68" s="136" t="s">
        <v>12</v>
      </c>
      <c r="J68" s="136" t="s">
        <v>0</v>
      </c>
      <c r="K68" s="136" t="s">
        <v>1</v>
      </c>
      <c r="L68" s="8"/>
    </row>
    <row r="69" spans="2:16" x14ac:dyDescent="0.5">
      <c r="B69" s="7"/>
      <c r="C69" s="116" t="s">
        <v>187</v>
      </c>
      <c r="D69" s="117">
        <v>1000</v>
      </c>
      <c r="E69" s="118">
        <v>15</v>
      </c>
      <c r="F69" s="119">
        <v>150</v>
      </c>
      <c r="H69" s="137" t="s">
        <v>188</v>
      </c>
      <c r="I69" s="138">
        <v>1000</v>
      </c>
      <c r="J69" s="139">
        <v>6.5</v>
      </c>
      <c r="K69" s="138">
        <v>250</v>
      </c>
      <c r="L69" s="8"/>
      <c r="M69" s="1">
        <f>IFERROR(ROUND((E69/D69)*F69,2),0)</f>
        <v>2.25</v>
      </c>
      <c r="N69" s="13">
        <f>IFERROR(ROUND((J69/I69)*K69,2),0)</f>
        <v>1.63</v>
      </c>
      <c r="O69" s="13">
        <f>IFERROR(ROUND((E81/D81)*F81,2),0)</f>
        <v>26</v>
      </c>
      <c r="P69">
        <f>IFERROR((D88*(E88/60)/1000),0)</f>
        <v>0.15</v>
      </c>
    </row>
    <row r="70" spans="2:16" x14ac:dyDescent="0.5">
      <c r="B70" s="7"/>
      <c r="C70" s="116" t="s">
        <v>3</v>
      </c>
      <c r="D70" s="117">
        <v>0</v>
      </c>
      <c r="E70" s="118">
        <v>0</v>
      </c>
      <c r="F70" s="119">
        <v>0</v>
      </c>
      <c r="H70" s="137" t="s">
        <v>191</v>
      </c>
      <c r="I70" s="138">
        <v>50</v>
      </c>
      <c r="J70" s="139">
        <v>11</v>
      </c>
      <c r="K70" s="138">
        <v>25</v>
      </c>
      <c r="L70" s="8"/>
      <c r="M70" s="1">
        <f t="shared" ref="M70:M78" si="4">IFERROR(ROUND((E70/D70)*F70,2),0)</f>
        <v>0</v>
      </c>
      <c r="N70" s="13">
        <f t="shared" ref="N70:N78" si="5">IFERROR(ROUND((J70/I70)*K70,2),0)</f>
        <v>5.5</v>
      </c>
      <c r="O70" s="13">
        <f>IFERROR(ROUND((E82/D82)*F82,2),0)</f>
        <v>0</v>
      </c>
      <c r="P70">
        <f>IFERROR((D89*(E89/60)/1000),0)</f>
        <v>0</v>
      </c>
    </row>
    <row r="71" spans="2:16" x14ac:dyDescent="0.5">
      <c r="B71" s="7"/>
      <c r="C71" s="116" t="s">
        <v>4</v>
      </c>
      <c r="D71" s="117">
        <v>0</v>
      </c>
      <c r="E71" s="118">
        <v>0</v>
      </c>
      <c r="F71" s="119">
        <v>0</v>
      </c>
      <c r="H71" s="137" t="s">
        <v>13</v>
      </c>
      <c r="I71" s="138">
        <v>0</v>
      </c>
      <c r="J71" s="139">
        <v>0</v>
      </c>
      <c r="K71" s="138">
        <v>0</v>
      </c>
      <c r="L71" s="8"/>
      <c r="M71" s="1">
        <f t="shared" si="4"/>
        <v>0</v>
      </c>
      <c r="N71" s="13">
        <f t="shared" si="5"/>
        <v>0</v>
      </c>
      <c r="O71" s="13">
        <f>IFERROR(ROUND((E83/D83)*F83,2),0)</f>
        <v>0</v>
      </c>
      <c r="P71">
        <f>IFERROR((D90*(E90/60)/1000),0)</f>
        <v>0</v>
      </c>
    </row>
    <row r="72" spans="2:16" x14ac:dyDescent="0.5">
      <c r="B72" s="7"/>
      <c r="C72" s="116" t="s">
        <v>5</v>
      </c>
      <c r="D72" s="117"/>
      <c r="E72" s="118"/>
      <c r="F72" s="119"/>
      <c r="H72" s="137" t="s">
        <v>14</v>
      </c>
      <c r="I72" s="138">
        <v>0</v>
      </c>
      <c r="J72" s="139">
        <v>0</v>
      </c>
      <c r="K72" s="138">
        <v>0</v>
      </c>
      <c r="L72" s="8"/>
      <c r="M72" s="1">
        <f t="shared" si="4"/>
        <v>0</v>
      </c>
      <c r="N72" s="13">
        <f t="shared" si="5"/>
        <v>0</v>
      </c>
      <c r="O72" s="13">
        <f>IFERROR(ROUND((E84/D84)*F84,2),0)</f>
        <v>0</v>
      </c>
      <c r="P72">
        <f>IFERROR((D91*(E91/60)/1000),0)</f>
        <v>0</v>
      </c>
    </row>
    <row r="73" spans="2:16" x14ac:dyDescent="0.5">
      <c r="B73" s="7"/>
      <c r="C73" s="116" t="s">
        <v>6</v>
      </c>
      <c r="D73" s="117"/>
      <c r="E73" s="118"/>
      <c r="F73" s="119"/>
      <c r="H73" s="137" t="s">
        <v>15</v>
      </c>
      <c r="I73" s="138"/>
      <c r="J73" s="139"/>
      <c r="K73" s="138"/>
      <c r="L73" s="8"/>
      <c r="M73" s="1">
        <f t="shared" si="4"/>
        <v>0</v>
      </c>
      <c r="N73" s="13">
        <f t="shared" si="5"/>
        <v>0</v>
      </c>
      <c r="O73" s="13">
        <f>IFERROR(ROUND((E85/D85)*F85,2),0)</f>
        <v>0</v>
      </c>
      <c r="P73">
        <f>IFERROR((D92*(E92/60)/1000),0)</f>
        <v>0</v>
      </c>
    </row>
    <row r="74" spans="2:16" x14ac:dyDescent="0.5">
      <c r="B74" s="7"/>
      <c r="C74" s="116" t="s">
        <v>7</v>
      </c>
      <c r="D74" s="117"/>
      <c r="E74" s="118"/>
      <c r="F74" s="119"/>
      <c r="H74" s="137" t="s">
        <v>16</v>
      </c>
      <c r="I74" s="138"/>
      <c r="J74" s="139"/>
      <c r="K74" s="138"/>
      <c r="L74" s="8"/>
      <c r="M74" s="1">
        <f t="shared" si="4"/>
        <v>0</v>
      </c>
      <c r="N74" s="13">
        <f t="shared" si="5"/>
        <v>0</v>
      </c>
      <c r="O74" s="13"/>
    </row>
    <row r="75" spans="2:16" x14ac:dyDescent="0.5">
      <c r="B75" s="7"/>
      <c r="C75" s="116" t="s">
        <v>8</v>
      </c>
      <c r="D75" s="117"/>
      <c r="E75" s="118"/>
      <c r="F75" s="119"/>
      <c r="H75" s="137" t="s">
        <v>17</v>
      </c>
      <c r="I75" s="138"/>
      <c r="J75" s="139"/>
      <c r="K75" s="138"/>
      <c r="L75" s="8"/>
      <c r="M75" s="1">
        <f t="shared" si="4"/>
        <v>0</v>
      </c>
      <c r="N75" s="13">
        <f t="shared" si="5"/>
        <v>0</v>
      </c>
      <c r="O75" s="13"/>
    </row>
    <row r="76" spans="2:16" x14ac:dyDescent="0.5">
      <c r="B76" s="7"/>
      <c r="C76" s="116" t="s">
        <v>9</v>
      </c>
      <c r="D76" s="117"/>
      <c r="E76" s="118"/>
      <c r="F76" s="119"/>
      <c r="H76" s="137" t="s">
        <v>18</v>
      </c>
      <c r="I76" s="138"/>
      <c r="J76" s="139"/>
      <c r="K76" s="138"/>
      <c r="L76" s="8"/>
      <c r="M76" s="1">
        <f t="shared" si="4"/>
        <v>0</v>
      </c>
      <c r="N76" s="13">
        <f t="shared" si="5"/>
        <v>0</v>
      </c>
      <c r="O76" s="13"/>
    </row>
    <row r="77" spans="2:16" x14ac:dyDescent="0.5">
      <c r="B77" s="7"/>
      <c r="C77" s="116" t="s">
        <v>10</v>
      </c>
      <c r="D77" s="117"/>
      <c r="E77" s="118"/>
      <c r="F77" s="119"/>
      <c r="H77" s="137" t="s">
        <v>19</v>
      </c>
      <c r="I77" s="138"/>
      <c r="J77" s="139"/>
      <c r="K77" s="138"/>
      <c r="L77" s="8"/>
      <c r="M77" s="1">
        <f t="shared" si="4"/>
        <v>0</v>
      </c>
      <c r="N77" s="13">
        <f>IFERROR(ROUND((J77/I77)*K77,2),0)</f>
        <v>0</v>
      </c>
      <c r="O77" s="13"/>
    </row>
    <row r="78" spans="2:16" ht="14.7" thickBot="1" x14ac:dyDescent="0.55000000000000004">
      <c r="B78" s="7"/>
      <c r="C78" s="120" t="s">
        <v>11</v>
      </c>
      <c r="D78" s="121"/>
      <c r="E78" s="122"/>
      <c r="F78" s="123"/>
      <c r="H78" s="137" t="s">
        <v>22</v>
      </c>
      <c r="I78" s="138"/>
      <c r="J78" s="139"/>
      <c r="K78" s="138"/>
      <c r="L78" s="8"/>
      <c r="M78" s="1">
        <f t="shared" si="4"/>
        <v>0</v>
      </c>
      <c r="N78" s="13">
        <f t="shared" si="5"/>
        <v>0</v>
      </c>
      <c r="O78" s="13"/>
    </row>
    <row r="79" spans="2:16" ht="14.7" thickBot="1" x14ac:dyDescent="0.55000000000000004">
      <c r="B79" s="7"/>
      <c r="C79" s="56"/>
      <c r="D79" s="56"/>
      <c r="E79" s="56"/>
      <c r="F79" s="56"/>
      <c r="H79" s="56"/>
      <c r="I79" s="56"/>
      <c r="J79" s="56"/>
      <c r="K79" s="56"/>
      <c r="L79" s="8"/>
    </row>
    <row r="80" spans="2:16" ht="21" customHeight="1" thickBot="1" x14ac:dyDescent="0.65">
      <c r="B80" s="7"/>
      <c r="C80" s="124" t="s">
        <v>38</v>
      </c>
      <c r="D80" s="125" t="s">
        <v>23</v>
      </c>
      <c r="E80" s="125" t="s">
        <v>0</v>
      </c>
      <c r="F80" s="126" t="s">
        <v>1</v>
      </c>
      <c r="H80" s="309" t="s">
        <v>24</v>
      </c>
      <c r="I80" s="140" t="s">
        <v>25</v>
      </c>
      <c r="J80" s="141" t="s">
        <v>27</v>
      </c>
      <c r="K80" s="142" t="s">
        <v>28</v>
      </c>
      <c r="L80" s="8"/>
    </row>
    <row r="81" spans="2:12" ht="18" customHeight="1" thickBot="1" x14ac:dyDescent="0.55000000000000004">
      <c r="B81" s="7"/>
      <c r="C81" s="127" t="s">
        <v>189</v>
      </c>
      <c r="D81" s="128">
        <v>50</v>
      </c>
      <c r="E81" s="129">
        <v>51.99</v>
      </c>
      <c r="F81" s="130">
        <v>25</v>
      </c>
      <c r="H81" s="310"/>
      <c r="I81" s="143">
        <v>15</v>
      </c>
      <c r="J81" s="144">
        <v>1</v>
      </c>
      <c r="K81" s="145">
        <v>60</v>
      </c>
      <c r="L81" s="8"/>
    </row>
    <row r="82" spans="2:12" ht="14.45" customHeight="1" thickBot="1" x14ac:dyDescent="0.55000000000000004">
      <c r="B82" s="7"/>
      <c r="C82" s="127" t="s">
        <v>34</v>
      </c>
      <c r="D82" s="128">
        <v>0</v>
      </c>
      <c r="E82" s="129">
        <v>0</v>
      </c>
      <c r="F82" s="130">
        <v>0</v>
      </c>
      <c r="H82" s="146"/>
      <c r="I82" s="146"/>
      <c r="J82" s="146"/>
      <c r="K82" s="56"/>
      <c r="L82" s="8"/>
    </row>
    <row r="83" spans="2:12" ht="20.100000000000001" customHeight="1" thickBot="1" x14ac:dyDescent="0.55000000000000004">
      <c r="B83" s="7"/>
      <c r="C83" s="127" t="s">
        <v>35</v>
      </c>
      <c r="D83" s="128">
        <v>0</v>
      </c>
      <c r="E83" s="129">
        <v>0</v>
      </c>
      <c r="F83" s="130">
        <v>0</v>
      </c>
      <c r="H83" s="110" t="s">
        <v>50</v>
      </c>
      <c r="I83" s="111">
        <v>0.1</v>
      </c>
      <c r="J83" s="56"/>
      <c r="K83" s="56"/>
      <c r="L83" s="8"/>
    </row>
    <row r="84" spans="2:12" ht="14.45" customHeight="1" thickBot="1" x14ac:dyDescent="0.55000000000000004">
      <c r="B84" s="7"/>
      <c r="C84" s="127" t="s">
        <v>36</v>
      </c>
      <c r="D84" s="128"/>
      <c r="E84" s="129"/>
      <c r="F84" s="130"/>
      <c r="H84" s="56"/>
      <c r="I84" s="146"/>
      <c r="J84" s="146"/>
      <c r="K84" s="56"/>
      <c r="L84" s="8"/>
    </row>
    <row r="85" spans="2:12" ht="21" customHeight="1" thickBot="1" x14ac:dyDescent="0.55000000000000004">
      <c r="B85" s="7"/>
      <c r="C85" s="131" t="s">
        <v>37</v>
      </c>
      <c r="D85" s="132"/>
      <c r="E85" s="133"/>
      <c r="F85" s="134"/>
      <c r="H85" s="110" t="s">
        <v>49</v>
      </c>
      <c r="I85" s="111">
        <v>0.1</v>
      </c>
      <c r="J85" s="146"/>
      <c r="K85" s="56"/>
      <c r="L85" s="8"/>
    </row>
    <row r="86" spans="2:12" ht="14.45" customHeight="1" thickBot="1" x14ac:dyDescent="0.55000000000000004">
      <c r="B86" s="7"/>
      <c r="C86" s="56"/>
      <c r="D86" s="56"/>
      <c r="E86" s="56"/>
      <c r="F86" s="56"/>
      <c r="H86" s="56"/>
      <c r="I86" s="56"/>
      <c r="J86" s="56"/>
      <c r="K86" s="56"/>
      <c r="L86" s="8"/>
    </row>
    <row r="87" spans="2:12" ht="22.35" customHeight="1" thickBot="1" x14ac:dyDescent="0.55000000000000004">
      <c r="B87" s="7"/>
      <c r="C87" s="88" t="s">
        <v>39</v>
      </c>
      <c r="D87" s="89" t="s">
        <v>45</v>
      </c>
      <c r="E87" s="307" t="s">
        <v>46</v>
      </c>
      <c r="F87" s="308"/>
      <c r="H87" s="108" t="s">
        <v>76</v>
      </c>
      <c r="I87" s="109">
        <v>0.32</v>
      </c>
      <c r="J87" s="146"/>
      <c r="K87" s="56"/>
      <c r="L87" s="8"/>
    </row>
    <row r="88" spans="2:12" ht="14.7" thickBot="1" x14ac:dyDescent="0.55000000000000004">
      <c r="B88" s="7"/>
      <c r="C88" s="90" t="s">
        <v>190</v>
      </c>
      <c r="D88" s="91">
        <v>150</v>
      </c>
      <c r="E88" s="222">
        <v>60</v>
      </c>
      <c r="F88" s="223"/>
      <c r="H88" s="56"/>
      <c r="I88" s="56"/>
      <c r="J88" s="56"/>
      <c r="K88" s="56"/>
      <c r="L88" s="8"/>
    </row>
    <row r="89" spans="2:12" ht="14.45" customHeight="1" x14ac:dyDescent="0.5">
      <c r="B89" s="7"/>
      <c r="C89" s="90" t="s">
        <v>40</v>
      </c>
      <c r="D89" s="91">
        <v>0</v>
      </c>
      <c r="E89" s="222">
        <v>0</v>
      </c>
      <c r="F89" s="223"/>
      <c r="H89" s="324" t="s">
        <v>26</v>
      </c>
      <c r="I89" s="326">
        <v>25</v>
      </c>
      <c r="J89" s="147"/>
      <c r="K89" s="147"/>
      <c r="L89" s="8"/>
    </row>
    <row r="90" spans="2:12" ht="14.45" customHeight="1" thickBot="1" x14ac:dyDescent="0.55000000000000004">
      <c r="B90" s="7"/>
      <c r="C90" s="90" t="s">
        <v>41</v>
      </c>
      <c r="D90" s="91"/>
      <c r="E90" s="222"/>
      <c r="F90" s="223"/>
      <c r="H90" s="325"/>
      <c r="I90" s="327"/>
      <c r="J90" s="147"/>
      <c r="K90" s="147"/>
      <c r="L90" s="8"/>
    </row>
    <row r="91" spans="2:12" ht="14.7" customHeight="1" thickBot="1" x14ac:dyDescent="0.55000000000000004">
      <c r="B91" s="7"/>
      <c r="C91" s="90" t="s">
        <v>42</v>
      </c>
      <c r="D91" s="91"/>
      <c r="E91" s="222"/>
      <c r="F91" s="223"/>
      <c r="H91" s="12"/>
      <c r="I91" s="12"/>
      <c r="J91" s="12"/>
      <c r="K91" s="12"/>
      <c r="L91" s="8"/>
    </row>
    <row r="92" spans="2:12" ht="25.35" customHeight="1" thickBot="1" x14ac:dyDescent="0.55000000000000004">
      <c r="B92" s="7"/>
      <c r="C92" s="92" t="s">
        <v>43</v>
      </c>
      <c r="D92" s="91"/>
      <c r="E92" s="222"/>
      <c r="F92" s="223"/>
      <c r="H92" s="345" t="s">
        <v>29</v>
      </c>
      <c r="I92" s="346"/>
      <c r="J92" s="346"/>
      <c r="K92" s="347"/>
      <c r="L92" s="8"/>
    </row>
    <row r="93" spans="2:12" ht="14.7" customHeight="1" thickBot="1" x14ac:dyDescent="0.55000000000000004">
      <c r="B93" s="7"/>
      <c r="H93" s="336">
        <f>IFERROR((((C96+D96+E96+D99)*(1+I83)+F96*(1+I85)))/I89,0)</f>
        <v>2.2188319999999999</v>
      </c>
      <c r="I93" s="337"/>
      <c r="J93" s="337"/>
      <c r="K93" s="338"/>
      <c r="L93" s="8"/>
    </row>
    <row r="94" spans="2:12" ht="14.7" customHeight="1" thickBot="1" x14ac:dyDescent="0.55000000000000004">
      <c r="B94" s="7"/>
      <c r="C94" s="255" t="s">
        <v>169</v>
      </c>
      <c r="D94" s="256"/>
      <c r="E94" s="256"/>
      <c r="F94" s="257"/>
      <c r="H94" s="339"/>
      <c r="I94" s="340"/>
      <c r="J94" s="340"/>
      <c r="K94" s="341"/>
      <c r="L94" s="8"/>
    </row>
    <row r="95" spans="2:12" ht="14.7" customHeight="1" x14ac:dyDescent="0.5">
      <c r="B95" s="7"/>
      <c r="C95" s="26" t="s">
        <v>30</v>
      </c>
      <c r="D95" s="27" t="s">
        <v>31</v>
      </c>
      <c r="E95" s="27" t="s">
        <v>32</v>
      </c>
      <c r="F95" s="28" t="s">
        <v>33</v>
      </c>
      <c r="H95" s="339"/>
      <c r="I95" s="340"/>
      <c r="J95" s="340"/>
      <c r="K95" s="341"/>
      <c r="L95" s="8"/>
    </row>
    <row r="96" spans="2:12" ht="14.7" customHeight="1" thickBot="1" x14ac:dyDescent="0.55000000000000004">
      <c r="B96" s="7"/>
      <c r="C96" s="29">
        <f>SUM(M69:M78)</f>
        <v>2.25</v>
      </c>
      <c r="D96" s="30">
        <f>SUM(N69:N78)</f>
        <v>7.13</v>
      </c>
      <c r="E96" s="31">
        <f>SUM(O69:O78)</f>
        <v>26</v>
      </c>
      <c r="F96" s="32">
        <f>I81/60*J81*K81</f>
        <v>15</v>
      </c>
      <c r="H96" s="339"/>
      <c r="I96" s="340"/>
      <c r="J96" s="340"/>
      <c r="K96" s="341"/>
      <c r="L96" s="8"/>
    </row>
    <row r="97" spans="2:20" ht="14.7" customHeight="1" thickBot="1" x14ac:dyDescent="0.55000000000000004">
      <c r="B97" s="7"/>
      <c r="C97" s="41"/>
      <c r="D97" s="18"/>
      <c r="E97" s="19"/>
      <c r="F97" s="42"/>
      <c r="H97" s="339"/>
      <c r="I97" s="340"/>
      <c r="J97" s="340"/>
      <c r="K97" s="341"/>
      <c r="L97" s="8"/>
    </row>
    <row r="98" spans="2:20" ht="14.7" customHeight="1" thickBot="1" x14ac:dyDescent="0.55000000000000004">
      <c r="B98" s="7"/>
      <c r="C98" s="2" t="s">
        <v>47</v>
      </c>
      <c r="D98" s="33" t="s">
        <v>44</v>
      </c>
      <c r="E98" s="2" t="s">
        <v>51</v>
      </c>
      <c r="F98" s="2" t="s">
        <v>75</v>
      </c>
      <c r="H98" s="339"/>
      <c r="I98" s="340"/>
      <c r="J98" s="340"/>
      <c r="K98" s="341"/>
      <c r="L98" s="8"/>
    </row>
    <row r="99" spans="2:20" ht="14.7" customHeight="1" thickBot="1" x14ac:dyDescent="0.55000000000000004">
      <c r="B99" s="7"/>
      <c r="C99" s="39">
        <f>SUM(P69:P73)</f>
        <v>0.15</v>
      </c>
      <c r="D99" s="30">
        <f>C99*I87</f>
        <v>4.8000000000000001E-2</v>
      </c>
      <c r="E99" s="3">
        <f>C96+D96+E96+F96+D99</f>
        <v>50.427999999999997</v>
      </c>
      <c r="F99" s="3">
        <f>((C96+D96+E96+D99)*(1+I83)+F96*(1+I85))-(C96+D96+E96+F96+D99)</f>
        <v>5.0427999999999997</v>
      </c>
      <c r="H99" s="342"/>
      <c r="I99" s="343"/>
      <c r="J99" s="343"/>
      <c r="K99" s="344"/>
      <c r="L99" s="8"/>
    </row>
    <row r="100" spans="2:20" ht="14.7" thickBot="1" x14ac:dyDescent="0.55000000000000004">
      <c r="B100" s="9"/>
      <c r="C100" s="10"/>
      <c r="D100" s="10"/>
      <c r="E100" s="10"/>
      <c r="F100" s="10"/>
      <c r="G100" s="10"/>
      <c r="H100" s="10"/>
      <c r="I100" s="10"/>
      <c r="J100" s="10"/>
      <c r="K100" s="10"/>
      <c r="L100" s="11"/>
    </row>
    <row r="103" spans="2:20" ht="14.7" thickBot="1" x14ac:dyDescent="0.55000000000000004"/>
    <row r="104" spans="2:20" x14ac:dyDescent="0.5">
      <c r="B104" s="4"/>
      <c r="C104" s="5"/>
      <c r="D104" s="5"/>
      <c r="E104" s="5"/>
      <c r="F104" s="5"/>
      <c r="G104" s="5"/>
      <c r="H104" s="5"/>
      <c r="I104" s="5"/>
      <c r="J104" s="5"/>
      <c r="K104" s="5"/>
      <c r="L104" s="6"/>
    </row>
    <row r="105" spans="2:20" ht="14.7" thickBot="1" x14ac:dyDescent="0.55000000000000004">
      <c r="B105" s="7"/>
      <c r="L105" s="8"/>
    </row>
    <row r="106" spans="2:20" x14ac:dyDescent="0.5">
      <c r="B106" s="7"/>
      <c r="C106" s="348" t="s">
        <v>52</v>
      </c>
      <c r="D106" s="349"/>
      <c r="E106" s="349"/>
      <c r="F106" s="349"/>
      <c r="G106" s="349"/>
      <c r="H106" s="349"/>
      <c r="I106" s="349"/>
      <c r="J106" s="349"/>
      <c r="K106" s="350"/>
      <c r="L106" s="8"/>
    </row>
    <row r="107" spans="2:20" x14ac:dyDescent="0.5">
      <c r="B107" s="7"/>
      <c r="C107" s="351"/>
      <c r="D107" s="352"/>
      <c r="E107" s="352"/>
      <c r="F107" s="352"/>
      <c r="G107" s="352"/>
      <c r="H107" s="352"/>
      <c r="I107" s="352"/>
      <c r="J107" s="352"/>
      <c r="K107" s="353"/>
      <c r="L107" s="8"/>
    </row>
    <row r="108" spans="2:20" ht="14.7" thickBot="1" x14ac:dyDescent="0.55000000000000004">
      <c r="B108" s="7"/>
      <c r="C108" s="354"/>
      <c r="D108" s="355"/>
      <c r="E108" s="355"/>
      <c r="F108" s="355"/>
      <c r="G108" s="355"/>
      <c r="H108" s="355"/>
      <c r="I108" s="355"/>
      <c r="J108" s="355"/>
      <c r="K108" s="356"/>
      <c r="L108" s="8"/>
    </row>
    <row r="109" spans="2:20" x14ac:dyDescent="0.5">
      <c r="B109" s="7"/>
      <c r="L109" s="8"/>
    </row>
    <row r="110" spans="2:20" ht="14.7" thickBot="1" x14ac:dyDescent="0.55000000000000004">
      <c r="B110" s="7"/>
      <c r="L110" s="8"/>
    </row>
    <row r="111" spans="2:20" ht="20.7" x14ac:dyDescent="0.6">
      <c r="B111" s="7"/>
      <c r="C111" s="14" t="s">
        <v>148</v>
      </c>
      <c r="D111" s="15" t="s">
        <v>2</v>
      </c>
      <c r="E111" s="15" t="s">
        <v>0</v>
      </c>
      <c r="F111" s="16" t="s">
        <v>194</v>
      </c>
      <c r="H111" s="17" t="s">
        <v>55</v>
      </c>
      <c r="I111" s="20" t="s">
        <v>56</v>
      </c>
      <c r="J111" s="311" t="s">
        <v>71</v>
      </c>
      <c r="K111" s="312"/>
      <c r="L111" s="8"/>
      <c r="N111" s="1">
        <f>IFERROR(ROUND((E112/D112)*F112,2),0)</f>
        <v>10</v>
      </c>
      <c r="P111">
        <f>IFERROR(I112/J112,0)</f>
        <v>2.6</v>
      </c>
      <c r="R111" s="1">
        <f>I112</f>
        <v>65</v>
      </c>
      <c r="T111" s="23">
        <f>J112</f>
        <v>25</v>
      </c>
    </row>
    <row r="112" spans="2:20" x14ac:dyDescent="0.5">
      <c r="B112" s="7"/>
      <c r="C112" s="116" t="s">
        <v>162</v>
      </c>
      <c r="D112" s="117">
        <v>1000</v>
      </c>
      <c r="E112" s="118">
        <v>20</v>
      </c>
      <c r="F112" s="119">
        <v>500</v>
      </c>
      <c r="G112" s="56"/>
      <c r="H112" s="90" t="s">
        <v>192</v>
      </c>
      <c r="I112" s="129">
        <v>65</v>
      </c>
      <c r="J112" s="313">
        <v>25</v>
      </c>
      <c r="K112" s="314"/>
      <c r="L112" s="8"/>
      <c r="N112" s="1">
        <f>IFERROR(ROUND((E113/D113)*F113,2),0)</f>
        <v>0</v>
      </c>
      <c r="P112">
        <f>IFERROR(I113/J113,0)</f>
        <v>0</v>
      </c>
      <c r="R112" s="1">
        <f t="shared" ref="R112:R113" si="6">I113</f>
        <v>0</v>
      </c>
      <c r="T112" s="23">
        <f t="shared" ref="T112:T113" si="7">J113</f>
        <v>0</v>
      </c>
    </row>
    <row r="113" spans="2:27" x14ac:dyDescent="0.5">
      <c r="B113" s="7"/>
      <c r="C113" s="116" t="s">
        <v>3</v>
      </c>
      <c r="D113" s="117">
        <v>0</v>
      </c>
      <c r="E113" s="118">
        <v>0</v>
      </c>
      <c r="F113" s="119">
        <v>0</v>
      </c>
      <c r="G113" s="56"/>
      <c r="H113" s="90" t="s">
        <v>62</v>
      </c>
      <c r="I113" s="129">
        <v>0</v>
      </c>
      <c r="J113" s="313">
        <v>0</v>
      </c>
      <c r="K113" s="314"/>
      <c r="L113" s="8"/>
      <c r="N113" s="1">
        <f>IFERROR(ROUND((E114/D114)*F114,2),0)</f>
        <v>0</v>
      </c>
      <c r="P113">
        <f>IFERROR(I114/J114,0)</f>
        <v>0</v>
      </c>
      <c r="R113" s="1">
        <f t="shared" si="6"/>
        <v>0</v>
      </c>
      <c r="T113" s="23">
        <f t="shared" si="7"/>
        <v>0</v>
      </c>
    </row>
    <row r="114" spans="2:27" ht="14.45" customHeight="1" thickBot="1" x14ac:dyDescent="0.55000000000000004">
      <c r="B114" s="7"/>
      <c r="C114" s="116" t="s">
        <v>4</v>
      </c>
      <c r="D114" s="117">
        <v>0</v>
      </c>
      <c r="E114" s="118">
        <v>0</v>
      </c>
      <c r="F114" s="119">
        <v>0</v>
      </c>
      <c r="G114" s="56"/>
      <c r="H114" s="90" t="s">
        <v>63</v>
      </c>
      <c r="I114" s="129">
        <v>0</v>
      </c>
      <c r="J114" s="313">
        <v>0</v>
      </c>
      <c r="K114" s="314"/>
      <c r="L114" s="8"/>
      <c r="N114" s="1">
        <f>IFERROR(ROUND((E115/D115)*F115,2),0)</f>
        <v>0</v>
      </c>
      <c r="P114" s="22">
        <f>SUM(P111:P113)</f>
        <v>2.6</v>
      </c>
      <c r="R114" s="21">
        <f>SUM(R111:R113)</f>
        <v>65</v>
      </c>
      <c r="T114" s="24">
        <f>SUM(T111:T113)</f>
        <v>25</v>
      </c>
      <c r="W114" s="25" t="s">
        <v>79</v>
      </c>
      <c r="X114" s="25"/>
      <c r="Y114" s="25"/>
      <c r="Z114" s="25"/>
      <c r="AA114" s="25"/>
    </row>
    <row r="115" spans="2:27" ht="15" customHeight="1" x14ac:dyDescent="0.5">
      <c r="B115" s="7"/>
      <c r="C115" s="116" t="s">
        <v>5</v>
      </c>
      <c r="D115" s="117"/>
      <c r="E115" s="118"/>
      <c r="F115" s="119"/>
      <c r="G115" s="56"/>
      <c r="H115" s="328" t="s">
        <v>67</v>
      </c>
      <c r="I115" s="330" t="s">
        <v>69</v>
      </c>
      <c r="J115" s="331"/>
      <c r="K115" s="332"/>
      <c r="L115" s="8"/>
      <c r="N115" s="1">
        <f>IFERROR(ROUND((E116/D116)*F116,2),0)</f>
        <v>0</v>
      </c>
      <c r="V115" s="264" t="s">
        <v>183</v>
      </c>
      <c r="W115" s="265"/>
      <c r="X115" s="265"/>
      <c r="Y115" s="266"/>
      <c r="Z115" s="25"/>
      <c r="AA115" s="25"/>
    </row>
    <row r="116" spans="2:27" ht="14.7" thickBot="1" x14ac:dyDescent="0.55000000000000004">
      <c r="B116" s="7"/>
      <c r="C116" s="120" t="s">
        <v>6</v>
      </c>
      <c r="D116" s="121"/>
      <c r="E116" s="122"/>
      <c r="F116" s="123"/>
      <c r="G116" s="56"/>
      <c r="H116" s="329"/>
      <c r="I116" s="333"/>
      <c r="J116" s="334"/>
      <c r="K116" s="335"/>
      <c r="L116" s="8"/>
      <c r="N116" s="1"/>
      <c r="V116" s="267"/>
      <c r="W116" s="268"/>
      <c r="X116" s="268"/>
      <c r="Y116" s="269"/>
      <c r="Z116" s="25"/>
      <c r="AA116" s="25"/>
    </row>
    <row r="117" spans="2:27" ht="14.7" thickBot="1" x14ac:dyDescent="0.55000000000000004">
      <c r="B117" s="7"/>
      <c r="C117" s="56"/>
      <c r="D117" s="56"/>
      <c r="E117" s="56"/>
      <c r="F117" s="56"/>
      <c r="G117" s="56"/>
      <c r="H117" s="56"/>
      <c r="I117" s="56"/>
      <c r="J117" s="56"/>
      <c r="K117" s="56"/>
      <c r="L117" s="8"/>
      <c r="V117" s="267"/>
      <c r="W117" s="268"/>
      <c r="X117" s="268"/>
      <c r="Y117" s="269"/>
      <c r="Z117" s="25"/>
      <c r="AA117" s="25"/>
    </row>
    <row r="118" spans="2:27" ht="18.350000000000001" thickBot="1" x14ac:dyDescent="0.65">
      <c r="B118" s="7"/>
      <c r="C118" s="148" t="s">
        <v>53</v>
      </c>
      <c r="D118" s="149" t="s">
        <v>54</v>
      </c>
      <c r="E118" s="149" t="s">
        <v>0</v>
      </c>
      <c r="F118" s="150" t="s">
        <v>195</v>
      </c>
      <c r="G118" s="56"/>
      <c r="H118" s="309" t="s">
        <v>24</v>
      </c>
      <c r="I118" s="140" t="s">
        <v>25</v>
      </c>
      <c r="J118" s="141" t="s">
        <v>27</v>
      </c>
      <c r="K118" s="142" t="s">
        <v>28</v>
      </c>
      <c r="L118" s="8"/>
      <c r="V118" s="267"/>
      <c r="W118" s="268"/>
      <c r="X118" s="268"/>
      <c r="Y118" s="269"/>
      <c r="Z118" s="25"/>
      <c r="AA118" s="25"/>
    </row>
    <row r="119" spans="2:27" ht="14.7" thickBot="1" x14ac:dyDescent="0.55000000000000004">
      <c r="B119" s="7"/>
      <c r="C119" s="151" t="s">
        <v>57</v>
      </c>
      <c r="D119" s="152">
        <v>100</v>
      </c>
      <c r="E119" s="139">
        <v>3.5</v>
      </c>
      <c r="F119" s="153">
        <v>20</v>
      </c>
      <c r="G119" s="56"/>
      <c r="H119" s="310"/>
      <c r="I119" s="143">
        <v>15</v>
      </c>
      <c r="J119" s="144">
        <v>1</v>
      </c>
      <c r="K119" s="145">
        <v>120</v>
      </c>
      <c r="L119" s="8"/>
      <c r="N119" s="13">
        <f>IFERROR(ROUND((E119/D119)*F119,2),0)</f>
        <v>0.7</v>
      </c>
      <c r="Q119" t="s">
        <v>70</v>
      </c>
      <c r="V119" s="267"/>
      <c r="W119" s="268"/>
      <c r="X119" s="268"/>
      <c r="Y119" s="269"/>
      <c r="Z119" s="25"/>
      <c r="AA119" s="25"/>
    </row>
    <row r="120" spans="2:27" ht="21" thickBot="1" x14ac:dyDescent="0.55000000000000004">
      <c r="B120" s="7"/>
      <c r="C120" s="151" t="s">
        <v>58</v>
      </c>
      <c r="D120" s="152">
        <v>0</v>
      </c>
      <c r="E120" s="139">
        <v>0</v>
      </c>
      <c r="F120" s="153">
        <v>0</v>
      </c>
      <c r="G120" s="56"/>
      <c r="H120" s="146"/>
      <c r="I120" s="146"/>
      <c r="J120" s="146"/>
      <c r="K120" s="56"/>
      <c r="L120" s="8"/>
      <c r="N120" s="13">
        <f>IFERROR(ROUND((E120/D120)*F120,2),0)</f>
        <v>0</v>
      </c>
      <c r="Q120" t="s">
        <v>68</v>
      </c>
      <c r="V120" s="267"/>
      <c r="W120" s="268"/>
      <c r="X120" s="268"/>
      <c r="Y120" s="269"/>
      <c r="Z120" s="25"/>
      <c r="AA120" s="25"/>
    </row>
    <row r="121" spans="2:27" ht="21" thickBot="1" x14ac:dyDescent="0.55000000000000004">
      <c r="B121" s="7"/>
      <c r="C121" s="151" t="s">
        <v>59</v>
      </c>
      <c r="D121" s="152">
        <v>0</v>
      </c>
      <c r="E121" s="139">
        <v>0</v>
      </c>
      <c r="F121" s="153">
        <v>0</v>
      </c>
      <c r="G121" s="56"/>
      <c r="H121" s="110" t="s">
        <v>50</v>
      </c>
      <c r="I121" s="111">
        <v>0.05</v>
      </c>
      <c r="J121" s="56"/>
      <c r="K121" s="56"/>
      <c r="L121" s="8"/>
      <c r="N121" s="13">
        <f>IFERROR(ROUND((E121/D121)*F121,2),0)</f>
        <v>0</v>
      </c>
      <c r="Q121" t="s">
        <v>69</v>
      </c>
      <c r="V121" s="270"/>
      <c r="W121" s="271"/>
      <c r="X121" s="271"/>
      <c r="Y121" s="272"/>
    </row>
    <row r="122" spans="2:27" ht="21" thickBot="1" x14ac:dyDescent="0.55000000000000004">
      <c r="B122" s="7"/>
      <c r="C122" s="151" t="s">
        <v>60</v>
      </c>
      <c r="D122" s="152"/>
      <c r="E122" s="139"/>
      <c r="F122" s="153"/>
      <c r="G122" s="56"/>
      <c r="H122" s="56"/>
      <c r="I122" s="146"/>
      <c r="J122" s="146"/>
      <c r="K122" s="56"/>
      <c r="L122" s="8"/>
      <c r="N122" s="13">
        <f>IFERROR(ROUND((E122/D122)*F122,2),0)</f>
        <v>0</v>
      </c>
    </row>
    <row r="123" spans="2:27" ht="21" thickBot="1" x14ac:dyDescent="0.55000000000000004">
      <c r="B123" s="7"/>
      <c r="C123" s="154" t="s">
        <v>61</v>
      </c>
      <c r="D123" s="155"/>
      <c r="E123" s="156"/>
      <c r="F123" s="157"/>
      <c r="G123" s="56"/>
      <c r="H123" s="110" t="s">
        <v>49</v>
      </c>
      <c r="I123" s="111">
        <v>0.05</v>
      </c>
      <c r="J123" s="146"/>
      <c r="K123" s="56"/>
      <c r="L123" s="8"/>
      <c r="N123" s="13">
        <f>IFERROR(ROUND((E123/D123)*F123,2),0)</f>
        <v>0</v>
      </c>
    </row>
    <row r="124" spans="2:27" ht="14.7" thickBot="1" x14ac:dyDescent="0.55000000000000004">
      <c r="B124" s="7"/>
      <c r="C124" s="56"/>
      <c r="D124" s="56"/>
      <c r="E124" s="56"/>
      <c r="F124" s="56"/>
      <c r="G124" s="56"/>
      <c r="H124" s="56"/>
      <c r="I124" s="56"/>
      <c r="J124" s="56"/>
      <c r="K124" s="56"/>
      <c r="L124" s="8"/>
    </row>
    <row r="125" spans="2:27" ht="21" thickBot="1" x14ac:dyDescent="0.55000000000000004">
      <c r="B125" s="7"/>
      <c r="C125" s="88" t="s">
        <v>39</v>
      </c>
      <c r="D125" s="89" t="s">
        <v>45</v>
      </c>
      <c r="E125" s="307" t="s">
        <v>46</v>
      </c>
      <c r="F125" s="308"/>
      <c r="G125" s="56"/>
      <c r="H125" s="108" t="s">
        <v>76</v>
      </c>
      <c r="I125" s="109">
        <v>0.32</v>
      </c>
      <c r="J125" s="146"/>
      <c r="K125" s="56"/>
      <c r="L125" s="8"/>
      <c r="N125">
        <f>IFERROR((D126*(E126/60)/1000),0)</f>
        <v>0.3</v>
      </c>
      <c r="Q125" t="s">
        <v>73</v>
      </c>
    </row>
    <row r="126" spans="2:27" ht="14.7" thickBot="1" x14ac:dyDescent="0.55000000000000004">
      <c r="B126" s="7"/>
      <c r="C126" s="90" t="s">
        <v>193</v>
      </c>
      <c r="D126" s="91">
        <v>150</v>
      </c>
      <c r="E126" s="222">
        <v>120</v>
      </c>
      <c r="F126" s="223"/>
      <c r="G126" s="56"/>
      <c r="H126" s="56"/>
      <c r="I126" s="56"/>
      <c r="J126" s="56"/>
      <c r="K126" s="56"/>
      <c r="L126" s="8"/>
      <c r="N126">
        <f t="shared" ref="N126:N129" si="8">IFERROR((D127*(E127/60)/1000),0)</f>
        <v>0</v>
      </c>
      <c r="Q126">
        <f>IFERROR((((C134+D134+D137)*(1+I121)+F134*(1+I123)))/I127+E134,0)</f>
        <v>7.9544750000000004</v>
      </c>
    </row>
    <row r="127" spans="2:27" ht="16.7" customHeight="1" x14ac:dyDescent="0.5">
      <c r="B127" s="7"/>
      <c r="C127" s="90" t="s">
        <v>40</v>
      </c>
      <c r="D127" s="91">
        <v>0</v>
      </c>
      <c r="E127" s="222">
        <v>0</v>
      </c>
      <c r="F127" s="223"/>
      <c r="G127" s="56"/>
      <c r="H127" s="324" t="s">
        <v>65</v>
      </c>
      <c r="I127" s="326">
        <v>8</v>
      </c>
      <c r="J127" s="147"/>
      <c r="K127" s="147"/>
      <c r="L127" s="8"/>
      <c r="N127">
        <f t="shared" si="8"/>
        <v>0</v>
      </c>
    </row>
    <row r="128" spans="2:27" ht="15.75" customHeight="1" thickBot="1" x14ac:dyDescent="0.55000000000000004">
      <c r="B128" s="7"/>
      <c r="C128" s="90" t="s">
        <v>41</v>
      </c>
      <c r="D128" s="91"/>
      <c r="E128" s="222"/>
      <c r="F128" s="223"/>
      <c r="G128" s="56"/>
      <c r="H128" s="325"/>
      <c r="I128" s="327"/>
      <c r="J128" s="147"/>
      <c r="K128" s="147"/>
      <c r="L128" s="8"/>
      <c r="N128">
        <f t="shared" si="8"/>
        <v>0</v>
      </c>
      <c r="Q128" t="s">
        <v>72</v>
      </c>
    </row>
    <row r="129" spans="2:17" ht="14.7" thickBot="1" x14ac:dyDescent="0.55000000000000004">
      <c r="B129" s="7"/>
      <c r="C129" s="90" t="s">
        <v>42</v>
      </c>
      <c r="D129" s="91"/>
      <c r="E129" s="222"/>
      <c r="F129" s="223"/>
      <c r="G129" s="56"/>
      <c r="H129" s="56"/>
      <c r="I129" s="56"/>
      <c r="J129" s="56"/>
      <c r="K129" s="56"/>
      <c r="L129" s="8"/>
      <c r="N129">
        <f t="shared" si="8"/>
        <v>0</v>
      </c>
      <c r="Q129">
        <f>IFERROR((((C134+D134+D137)*(1+I121)+F134*(1+I123)))/I127+(R114/I127),0)</f>
        <v>13.479475000000001</v>
      </c>
    </row>
    <row r="130" spans="2:17" ht="22.7" customHeight="1" thickBot="1" x14ac:dyDescent="0.55000000000000004">
      <c r="B130" s="7"/>
      <c r="C130" s="92" t="s">
        <v>43</v>
      </c>
      <c r="D130" s="158"/>
      <c r="E130" s="357"/>
      <c r="F130" s="358"/>
      <c r="G130" s="56"/>
      <c r="H130" s="321" t="s">
        <v>66</v>
      </c>
      <c r="I130" s="322"/>
      <c r="J130" s="322"/>
      <c r="K130" s="323"/>
      <c r="L130" s="8"/>
    </row>
    <row r="131" spans="2:17" ht="14.7" thickBot="1" x14ac:dyDescent="0.55000000000000004">
      <c r="B131" s="7"/>
      <c r="H131" s="336">
        <f>IF(I115=Q120,Q129,Q126)</f>
        <v>7.9544750000000004</v>
      </c>
      <c r="I131" s="337"/>
      <c r="J131" s="337"/>
      <c r="K131" s="338"/>
      <c r="L131" s="8"/>
    </row>
    <row r="132" spans="2:17" ht="18.350000000000001" thickBot="1" x14ac:dyDescent="0.55000000000000004">
      <c r="B132" s="7"/>
      <c r="C132" s="207" t="s">
        <v>169</v>
      </c>
      <c r="D132" s="208"/>
      <c r="E132" s="208"/>
      <c r="F132" s="209"/>
      <c r="H132" s="339"/>
      <c r="I132" s="340"/>
      <c r="J132" s="340"/>
      <c r="K132" s="341"/>
      <c r="L132" s="8"/>
    </row>
    <row r="133" spans="2:17" ht="14.45" customHeight="1" thickBot="1" x14ac:dyDescent="0.55000000000000004">
      <c r="B133" s="7"/>
      <c r="C133" s="2" t="s">
        <v>30</v>
      </c>
      <c r="D133" s="33" t="s">
        <v>64</v>
      </c>
      <c r="E133" s="27" t="s">
        <v>74</v>
      </c>
      <c r="F133" s="28" t="s">
        <v>33</v>
      </c>
      <c r="H133" s="339"/>
      <c r="I133" s="340"/>
      <c r="J133" s="340"/>
      <c r="K133" s="341"/>
      <c r="L133" s="8"/>
      <c r="Q133" t="s">
        <v>77</v>
      </c>
    </row>
    <row r="134" spans="2:17" ht="14.45" customHeight="1" thickBot="1" x14ac:dyDescent="0.55000000000000004">
      <c r="B134" s="7"/>
      <c r="C134" s="35">
        <f>SUM(N111:N115)</f>
        <v>10</v>
      </c>
      <c r="D134" s="30">
        <f>SUM(N119:N123)</f>
        <v>0.7</v>
      </c>
      <c r="E134" s="31">
        <f>IF(I115=Q120,R114/I127,SUM(P111:P113))</f>
        <v>2.6</v>
      </c>
      <c r="F134" s="32">
        <f>I119/60*J119*K119</f>
        <v>30</v>
      </c>
      <c r="H134" s="339"/>
      <c r="I134" s="340"/>
      <c r="J134" s="340"/>
      <c r="K134" s="341"/>
      <c r="L134" s="8"/>
      <c r="Q134">
        <f>((C134+D134+D137)*(1+I121)+F134*(1+I123)-(C134+D134+D137+F134))</f>
        <v>2.0397999999999996</v>
      </c>
    </row>
    <row r="135" spans="2:17" ht="14.7" customHeight="1" thickBot="1" x14ac:dyDescent="0.55000000000000004">
      <c r="B135" s="7"/>
      <c r="C135" s="41"/>
      <c r="D135" s="18"/>
      <c r="E135" s="19"/>
      <c r="F135" s="42"/>
      <c r="H135" s="339"/>
      <c r="I135" s="340"/>
      <c r="J135" s="340"/>
      <c r="K135" s="341"/>
      <c r="L135" s="8"/>
    </row>
    <row r="136" spans="2:17" ht="14.7" customHeight="1" thickBot="1" x14ac:dyDescent="0.55000000000000004">
      <c r="B136" s="7"/>
      <c r="C136" s="2" t="s">
        <v>47</v>
      </c>
      <c r="D136" s="33" t="s">
        <v>44</v>
      </c>
      <c r="E136" s="2" t="s">
        <v>51</v>
      </c>
      <c r="F136" s="2" t="s">
        <v>75</v>
      </c>
      <c r="H136" s="339"/>
      <c r="I136" s="340"/>
      <c r="J136" s="340"/>
      <c r="K136" s="341"/>
      <c r="L136" s="8"/>
    </row>
    <row r="137" spans="2:17" ht="14.7" customHeight="1" thickBot="1" x14ac:dyDescent="0.55000000000000004">
      <c r="B137" s="7"/>
      <c r="C137" s="39">
        <f>SUM(N125:N129)</f>
        <v>0.3</v>
      </c>
      <c r="D137" s="30">
        <f>C137*I125</f>
        <v>9.6000000000000002E-2</v>
      </c>
      <c r="E137" s="3">
        <f>C134+D134+E134+F134+D137</f>
        <v>43.395999999999994</v>
      </c>
      <c r="F137" s="3">
        <f>IF(I115=Q120,Q134,Q134+P114*(Q138))</f>
        <v>2.0397999999999996</v>
      </c>
      <c r="H137" s="342"/>
      <c r="I137" s="343"/>
      <c r="J137" s="343"/>
      <c r="K137" s="344"/>
      <c r="L137" s="8"/>
      <c r="Q137" t="s">
        <v>78</v>
      </c>
    </row>
    <row r="138" spans="2:17" x14ac:dyDescent="0.5">
      <c r="B138" s="7"/>
      <c r="L138" s="8"/>
      <c r="Q138">
        <f>IF(I127&gt;J112,I127-J112,0)</f>
        <v>0</v>
      </c>
    </row>
    <row r="139" spans="2:17" ht="14.7" thickBot="1" x14ac:dyDescent="0.55000000000000004">
      <c r="B139" s="9"/>
      <c r="C139" s="10"/>
      <c r="D139" s="10"/>
      <c r="E139" s="10"/>
      <c r="F139" s="10"/>
      <c r="G139" s="10"/>
      <c r="H139" s="10"/>
      <c r="I139" s="10"/>
      <c r="J139" s="10"/>
      <c r="K139" s="10"/>
      <c r="L139" s="11"/>
    </row>
    <row r="141" spans="2:17" ht="14.7" thickBot="1" x14ac:dyDescent="0.55000000000000004"/>
    <row r="142" spans="2:17" x14ac:dyDescent="0.5">
      <c r="B142" s="4"/>
      <c r="C142" s="5"/>
      <c r="D142" s="5"/>
      <c r="E142" s="5"/>
      <c r="F142" s="5"/>
      <c r="G142" s="5"/>
      <c r="H142" s="5"/>
      <c r="I142" s="5"/>
      <c r="J142" s="5"/>
      <c r="K142" s="5"/>
      <c r="L142" s="6"/>
    </row>
    <row r="143" spans="2:17" ht="14.7" thickBot="1" x14ac:dyDescent="0.55000000000000004">
      <c r="B143" s="7"/>
      <c r="L143" s="8"/>
    </row>
    <row r="144" spans="2:17" x14ac:dyDescent="0.5">
      <c r="B144" s="7"/>
      <c r="C144" s="232" t="s">
        <v>149</v>
      </c>
      <c r="D144" s="233"/>
      <c r="E144" s="233"/>
      <c r="F144" s="233"/>
      <c r="G144" s="233"/>
      <c r="H144" s="233"/>
      <c r="I144" s="233"/>
      <c r="J144" s="233"/>
      <c r="K144" s="234"/>
      <c r="L144" s="8"/>
    </row>
    <row r="145" spans="2:31" x14ac:dyDescent="0.5">
      <c r="B145" s="7"/>
      <c r="C145" s="235"/>
      <c r="D145" s="236"/>
      <c r="E145" s="236"/>
      <c r="F145" s="236"/>
      <c r="G145" s="236"/>
      <c r="H145" s="236"/>
      <c r="I145" s="236"/>
      <c r="J145" s="236"/>
      <c r="K145" s="237"/>
      <c r="L145" s="8"/>
    </row>
    <row r="146" spans="2:31" ht="30" customHeight="1" thickBot="1" x14ac:dyDescent="0.55000000000000004">
      <c r="B146" s="7"/>
      <c r="C146" s="238"/>
      <c r="D146" s="239"/>
      <c r="E146" s="239"/>
      <c r="F146" s="239"/>
      <c r="G146" s="239"/>
      <c r="H146" s="239"/>
      <c r="I146" s="239"/>
      <c r="J146" s="239"/>
      <c r="K146" s="240"/>
      <c r="L146" s="8"/>
    </row>
    <row r="147" spans="2:31" ht="3.75" customHeight="1" x14ac:dyDescent="1.5">
      <c r="B147" s="7"/>
      <c r="C147" s="40"/>
      <c r="D147" s="40"/>
      <c r="E147" s="40"/>
      <c r="F147" s="40"/>
      <c r="G147" s="40"/>
      <c r="H147" s="40"/>
      <c r="I147" s="40"/>
      <c r="J147" s="40"/>
      <c r="K147" s="40"/>
      <c r="L147" s="8"/>
    </row>
    <row r="148" spans="2:31" ht="14.7" thickBot="1" x14ac:dyDescent="0.55000000000000004">
      <c r="B148" s="7"/>
      <c r="L148" s="8"/>
    </row>
    <row r="149" spans="2:31" ht="25.7" x14ac:dyDescent="0.5">
      <c r="B149" s="7"/>
      <c r="C149" s="241" t="s">
        <v>150</v>
      </c>
      <c r="D149" s="242"/>
      <c r="E149" s="242"/>
      <c r="F149" s="243"/>
      <c r="H149" s="244" t="s">
        <v>151</v>
      </c>
      <c r="I149" s="245"/>
      <c r="J149" s="245"/>
      <c r="K149" s="246"/>
      <c r="L149" s="8"/>
    </row>
    <row r="150" spans="2:31" ht="20.7" x14ac:dyDescent="0.5">
      <c r="B150" s="7"/>
      <c r="C150" s="247" t="s">
        <v>152</v>
      </c>
      <c r="D150" s="248"/>
      <c r="E150" s="249">
        <v>150</v>
      </c>
      <c r="F150" s="250"/>
      <c r="G150" s="56"/>
      <c r="H150" s="251" t="s">
        <v>153</v>
      </c>
      <c r="I150" s="252"/>
      <c r="J150" s="253">
        <v>4</v>
      </c>
      <c r="K150" s="254"/>
      <c r="L150" s="8"/>
    </row>
    <row r="151" spans="2:31" ht="21" thickBot="1" x14ac:dyDescent="0.55000000000000004">
      <c r="B151" s="7"/>
      <c r="C151" s="258" t="s">
        <v>154</v>
      </c>
      <c r="D151" s="259"/>
      <c r="E151" s="260">
        <v>25</v>
      </c>
      <c r="F151" s="261"/>
      <c r="G151" s="56"/>
      <c r="H151" s="163" t="s">
        <v>155</v>
      </c>
      <c r="I151" s="164"/>
      <c r="J151" s="224">
        <v>25</v>
      </c>
      <c r="K151" s="225"/>
      <c r="L151" s="8"/>
    </row>
    <row r="152" spans="2:31" ht="14.7" thickBot="1" x14ac:dyDescent="0.55000000000000004">
      <c r="B152" s="7"/>
      <c r="C152" s="56"/>
      <c r="D152" s="56"/>
      <c r="E152" s="56"/>
      <c r="F152" s="56"/>
      <c r="G152" s="56"/>
      <c r="H152" s="56"/>
      <c r="I152" s="56"/>
      <c r="J152" s="56"/>
      <c r="K152" s="56"/>
      <c r="L152" s="8"/>
    </row>
    <row r="153" spans="2:31" ht="25.7" x14ac:dyDescent="0.5">
      <c r="B153" s="7"/>
      <c r="C153" s="226" t="s">
        <v>156</v>
      </c>
      <c r="D153" s="227"/>
      <c r="E153" s="227"/>
      <c r="F153" s="228"/>
      <c r="G153" s="56"/>
      <c r="H153" s="229" t="s">
        <v>157</v>
      </c>
      <c r="I153" s="230"/>
      <c r="J153" s="230"/>
      <c r="K153" s="231"/>
      <c r="L153" s="8"/>
    </row>
    <row r="154" spans="2:31" ht="20.7" x14ac:dyDescent="0.5">
      <c r="B154" s="7"/>
      <c r="C154" s="165" t="s">
        <v>158</v>
      </c>
      <c r="D154" s="166"/>
      <c r="E154" s="167">
        <v>35</v>
      </c>
      <c r="F154" s="168"/>
      <c r="G154" s="56"/>
      <c r="H154" s="169" t="s">
        <v>159</v>
      </c>
      <c r="I154" s="170"/>
      <c r="J154" s="171">
        <v>1.5</v>
      </c>
      <c r="K154" s="172"/>
      <c r="L154" s="8"/>
    </row>
    <row r="155" spans="2:31" ht="21" thickBot="1" x14ac:dyDescent="0.75">
      <c r="B155" s="7"/>
      <c r="C155" s="173" t="s">
        <v>160</v>
      </c>
      <c r="D155" s="174"/>
      <c r="E155" s="175">
        <v>35</v>
      </c>
      <c r="F155" s="176"/>
      <c r="G155" s="56"/>
      <c r="H155" s="177" t="s">
        <v>161</v>
      </c>
      <c r="I155" s="178"/>
      <c r="J155" s="179">
        <v>0.32</v>
      </c>
      <c r="K155" s="180"/>
      <c r="L155" s="8"/>
    </row>
    <row r="156" spans="2:31" ht="23.25" customHeight="1" thickBot="1" x14ac:dyDescent="0.55000000000000004">
      <c r="B156" s="7"/>
      <c r="C156" s="56"/>
      <c r="D156" s="56"/>
      <c r="E156" s="56"/>
      <c r="F156" s="56"/>
      <c r="G156" s="56"/>
      <c r="H156" s="56"/>
      <c r="I156" s="56"/>
      <c r="J156" s="56"/>
      <c r="K156" s="56"/>
      <c r="L156" s="8"/>
    </row>
    <row r="157" spans="2:31" ht="30.75" customHeight="1" thickBot="1" x14ac:dyDescent="0.55000000000000004">
      <c r="B157" s="7"/>
      <c r="C157" s="196" t="s">
        <v>162</v>
      </c>
      <c r="D157" s="197"/>
      <c r="E157" s="197"/>
      <c r="F157" s="198"/>
      <c r="G157" s="56"/>
      <c r="H157" s="159" t="s">
        <v>163</v>
      </c>
      <c r="I157" s="160">
        <v>0.5</v>
      </c>
      <c r="J157" s="56"/>
      <c r="K157" s="56"/>
      <c r="L157" s="8"/>
      <c r="AC157" t="s">
        <v>164</v>
      </c>
      <c r="AE157">
        <f>ROUNDDOWN(E150/E155,0)</f>
        <v>4</v>
      </c>
    </row>
    <row r="158" spans="2:31" ht="21" thickBot="1" x14ac:dyDescent="0.55000000000000004">
      <c r="B158" s="7"/>
      <c r="C158" s="199" t="s">
        <v>165</v>
      </c>
      <c r="D158" s="200"/>
      <c r="E158" s="201">
        <v>100</v>
      </c>
      <c r="F158" s="202"/>
      <c r="G158" s="56"/>
      <c r="H158" s="56"/>
      <c r="I158" s="56"/>
      <c r="J158" s="56"/>
      <c r="K158" s="56"/>
      <c r="L158" s="8"/>
      <c r="AC158" t="s">
        <v>166</v>
      </c>
      <c r="AE158">
        <f>ROUNDUP(I159/AE157,0)</f>
        <v>25</v>
      </c>
    </row>
    <row r="159" spans="2:31" ht="33" customHeight="1" thickBot="1" x14ac:dyDescent="0.55000000000000004">
      <c r="B159" s="7"/>
      <c r="C159" s="203" t="s">
        <v>167</v>
      </c>
      <c r="D159" s="204"/>
      <c r="E159" s="205">
        <v>15</v>
      </c>
      <c r="F159" s="206"/>
      <c r="G159" s="56"/>
      <c r="H159" s="161" t="s">
        <v>168</v>
      </c>
      <c r="I159" s="162">
        <v>100</v>
      </c>
      <c r="J159" s="56"/>
      <c r="K159" s="56"/>
      <c r="L159" s="8"/>
    </row>
    <row r="160" spans="2:31" ht="25.5" customHeight="1" thickBot="1" x14ac:dyDescent="0.55000000000000004">
      <c r="B160" s="7"/>
      <c r="L160" s="8"/>
    </row>
    <row r="161" spans="2:12" x14ac:dyDescent="0.5">
      <c r="B161" s="7"/>
      <c r="C161" s="207" t="s">
        <v>169</v>
      </c>
      <c r="D161" s="208"/>
      <c r="E161" s="208"/>
      <c r="F161" s="209"/>
      <c r="H161" s="213" t="s">
        <v>170</v>
      </c>
      <c r="I161" s="214"/>
      <c r="J161" s="214"/>
      <c r="K161" s="215"/>
      <c r="L161" s="8"/>
    </row>
    <row r="162" spans="2:12" ht="14.7" thickBot="1" x14ac:dyDescent="0.55000000000000004">
      <c r="B162" s="7"/>
      <c r="C162" s="210"/>
      <c r="D162" s="211"/>
      <c r="E162" s="211"/>
      <c r="F162" s="212"/>
      <c r="H162" s="216"/>
      <c r="I162" s="217"/>
      <c r="J162" s="217"/>
      <c r="K162" s="218"/>
      <c r="L162" s="8"/>
    </row>
    <row r="163" spans="2:12" ht="14.7" thickBot="1" x14ac:dyDescent="0.55000000000000004">
      <c r="B163" s="7"/>
      <c r="C163" s="43" t="s">
        <v>171</v>
      </c>
      <c r="D163" s="43" t="s">
        <v>172</v>
      </c>
      <c r="E163" s="43" t="s">
        <v>173</v>
      </c>
      <c r="F163" s="43" t="s">
        <v>174</v>
      </c>
      <c r="H163" s="219"/>
      <c r="I163" s="220"/>
      <c r="J163" s="220"/>
      <c r="K163" s="221"/>
      <c r="L163" s="8"/>
    </row>
    <row r="164" spans="2:12" x14ac:dyDescent="0.5">
      <c r="B164" s="7"/>
      <c r="C164" s="44">
        <f>E154*E155*I159/10000</f>
        <v>12.25</v>
      </c>
      <c r="D164" s="45">
        <f>F164-C164</f>
        <v>0.875</v>
      </c>
      <c r="E164" s="46">
        <f>AE158*E154/100</f>
        <v>8.75</v>
      </c>
      <c r="F164" s="47">
        <f>E164*(E150/100)</f>
        <v>13.125</v>
      </c>
      <c r="H164" s="48" t="s">
        <v>175</v>
      </c>
      <c r="I164" s="181">
        <f>(E170+F170)/I159</f>
        <v>7.7783124999999993</v>
      </c>
      <c r="J164" s="182"/>
      <c r="K164" s="183"/>
      <c r="L164" s="8"/>
    </row>
    <row r="165" spans="2:12" ht="14.7" thickBot="1" x14ac:dyDescent="0.55000000000000004">
      <c r="B165" s="7"/>
      <c r="C165" s="7"/>
      <c r="F165" s="8"/>
      <c r="H165" s="184" t="s">
        <v>170</v>
      </c>
      <c r="I165" s="187">
        <f>ROUNDUP(I164,1)</f>
        <v>7.8</v>
      </c>
      <c r="J165" s="188"/>
      <c r="K165" s="189"/>
      <c r="L165" s="8"/>
    </row>
    <row r="166" spans="2:12" ht="14.7" thickBot="1" x14ac:dyDescent="0.55000000000000004">
      <c r="B166" s="7"/>
      <c r="C166" s="43" t="s">
        <v>176</v>
      </c>
      <c r="D166" s="43" t="s">
        <v>177</v>
      </c>
      <c r="E166" s="43" t="s">
        <v>178</v>
      </c>
      <c r="F166" s="43" t="s">
        <v>179</v>
      </c>
      <c r="H166" s="185"/>
      <c r="I166" s="190"/>
      <c r="J166" s="191"/>
      <c r="K166" s="192"/>
      <c r="L166" s="8"/>
    </row>
    <row r="167" spans="2:12" x14ac:dyDescent="0.5">
      <c r="B167" s="7"/>
      <c r="C167" s="49">
        <f>C164*E151</f>
        <v>306.25</v>
      </c>
      <c r="D167" s="50">
        <f>D164*E151*1.1</f>
        <v>24.062500000000004</v>
      </c>
      <c r="E167" s="51">
        <f>J150*I159/60</f>
        <v>6.666666666666667</v>
      </c>
      <c r="F167" s="52">
        <f>J155*J154*E167</f>
        <v>3.2</v>
      </c>
      <c r="H167" s="185"/>
      <c r="I167" s="190"/>
      <c r="J167" s="191"/>
      <c r="K167" s="192"/>
      <c r="L167" s="8"/>
    </row>
    <row r="168" spans="2:12" ht="14.7" thickBot="1" x14ac:dyDescent="0.55000000000000004">
      <c r="B168" s="7"/>
      <c r="C168" s="7"/>
      <c r="F168" s="8"/>
      <c r="H168" s="185"/>
      <c r="I168" s="190"/>
      <c r="J168" s="191"/>
      <c r="K168" s="192"/>
      <c r="L168" s="8"/>
    </row>
    <row r="169" spans="2:12" ht="14.7" thickBot="1" x14ac:dyDescent="0.55000000000000004">
      <c r="B169" s="7"/>
      <c r="C169" s="43" t="s">
        <v>180</v>
      </c>
      <c r="D169" s="43" t="s">
        <v>181</v>
      </c>
      <c r="E169" s="43" t="s">
        <v>182</v>
      </c>
      <c r="F169" s="43" t="s">
        <v>77</v>
      </c>
      <c r="H169" s="185"/>
      <c r="I169" s="190"/>
      <c r="J169" s="191"/>
      <c r="K169" s="192"/>
      <c r="L169" s="8"/>
    </row>
    <row r="170" spans="2:12" ht="14.7" thickBot="1" x14ac:dyDescent="0.55000000000000004">
      <c r="B170" s="7"/>
      <c r="C170" s="53">
        <f>E154*E155*E158/10000</f>
        <v>12.25</v>
      </c>
      <c r="D170" s="54">
        <f>E159*C170/1000*I159</f>
        <v>18.375</v>
      </c>
      <c r="E170" s="54">
        <f>D170+F167+D167+C167+(E167*J151)</f>
        <v>518.55416666666667</v>
      </c>
      <c r="F170" s="55">
        <f>E170*I157</f>
        <v>259.27708333333334</v>
      </c>
      <c r="H170" s="186"/>
      <c r="I170" s="193"/>
      <c r="J170" s="194"/>
      <c r="K170" s="195"/>
      <c r="L170" s="8"/>
    </row>
    <row r="171" spans="2:12" x14ac:dyDescent="0.5">
      <c r="B171" s="7"/>
      <c r="L171" s="8"/>
    </row>
    <row r="172" spans="2:12" x14ac:dyDescent="0.5">
      <c r="B172" s="7"/>
      <c r="L172" s="8"/>
    </row>
    <row r="173" spans="2:12" ht="14.7" thickBot="1" x14ac:dyDescent="0.55000000000000004">
      <c r="B173" s="9"/>
      <c r="C173" s="10"/>
      <c r="D173" s="10"/>
      <c r="E173" s="10"/>
      <c r="F173" s="10"/>
      <c r="G173" s="10"/>
      <c r="H173" s="10"/>
      <c r="I173" s="10"/>
      <c r="J173" s="10"/>
      <c r="K173" s="10"/>
      <c r="L173" s="11"/>
    </row>
  </sheetData>
  <sheetProtection algorithmName="SHA-512" hashValue="ltl+ZESAgcmG+7QKfgTa9dXdKZnEQiXOX7kVGvAU/CgHtX44KiKbCFb2cTBDeALc3mtT9WtpHglNhysCA2HONA==" saltValue="Z/JBB/qgA4OmOn0gn7pKkg==" spinCount="100000" sheet="1" objects="1" scenarios="1"/>
  <mergeCells count="82">
    <mergeCell ref="H131:K137"/>
    <mergeCell ref="H92:K92"/>
    <mergeCell ref="H89:H90"/>
    <mergeCell ref="I89:I90"/>
    <mergeCell ref="E87:F87"/>
    <mergeCell ref="E88:F88"/>
    <mergeCell ref="E89:F89"/>
    <mergeCell ref="E90:F90"/>
    <mergeCell ref="E91:F91"/>
    <mergeCell ref="E92:F92"/>
    <mergeCell ref="C106:K108"/>
    <mergeCell ref="E125:F125"/>
    <mergeCell ref="E127:F127"/>
    <mergeCell ref="E129:F129"/>
    <mergeCell ref="E130:F130"/>
    <mergeCell ref="H93:K99"/>
    <mergeCell ref="H130:K130"/>
    <mergeCell ref="H127:H128"/>
    <mergeCell ref="I127:I128"/>
    <mergeCell ref="H115:H116"/>
    <mergeCell ref="I115:K116"/>
    <mergeCell ref="E128:F128"/>
    <mergeCell ref="H39:H40"/>
    <mergeCell ref="J111:K111"/>
    <mergeCell ref="J112:K112"/>
    <mergeCell ref="J113:K113"/>
    <mergeCell ref="J114:K114"/>
    <mergeCell ref="E126:F126"/>
    <mergeCell ref="H118:H119"/>
    <mergeCell ref="C65:K66"/>
    <mergeCell ref="H80:H81"/>
    <mergeCell ref="H36:H37"/>
    <mergeCell ref="V115:Y121"/>
    <mergeCell ref="C3:K4"/>
    <mergeCell ref="J33:K33"/>
    <mergeCell ref="J34:K34"/>
    <mergeCell ref="H49:K50"/>
    <mergeCell ref="H51:K56"/>
    <mergeCell ref="C6:C8"/>
    <mergeCell ref="D6:D8"/>
    <mergeCell ref="F6:F8"/>
    <mergeCell ref="J6:J8"/>
    <mergeCell ref="K6:K8"/>
    <mergeCell ref="G6:H8"/>
    <mergeCell ref="J29:K29"/>
    <mergeCell ref="J30:K30"/>
    <mergeCell ref="J31:K31"/>
    <mergeCell ref="J32:K32"/>
    <mergeCell ref="J151:K151"/>
    <mergeCell ref="C153:F153"/>
    <mergeCell ref="H153:K153"/>
    <mergeCell ref="C144:K146"/>
    <mergeCell ref="C149:F149"/>
    <mergeCell ref="H149:K149"/>
    <mergeCell ref="C150:D150"/>
    <mergeCell ref="E150:F150"/>
    <mergeCell ref="H150:I150"/>
    <mergeCell ref="J150:K150"/>
    <mergeCell ref="C132:F132"/>
    <mergeCell ref="C94:F94"/>
    <mergeCell ref="C48:F48"/>
    <mergeCell ref="C151:D151"/>
    <mergeCell ref="E151:F151"/>
    <mergeCell ref="H165:H170"/>
    <mergeCell ref="I165:K170"/>
    <mergeCell ref="C157:F157"/>
    <mergeCell ref="C158:D158"/>
    <mergeCell ref="E158:F158"/>
    <mergeCell ref="C159:D159"/>
    <mergeCell ref="E159:F159"/>
    <mergeCell ref="C161:F162"/>
    <mergeCell ref="H161:K163"/>
    <mergeCell ref="C155:D155"/>
    <mergeCell ref="E155:F155"/>
    <mergeCell ref="H155:I155"/>
    <mergeCell ref="J155:K155"/>
    <mergeCell ref="I164:K164"/>
    <mergeCell ref="H151:I151"/>
    <mergeCell ref="C154:D154"/>
    <mergeCell ref="E154:F154"/>
    <mergeCell ref="H154:I154"/>
    <mergeCell ref="J154:K154"/>
  </mergeCells>
  <dataValidations count="1">
    <dataValidation type="list" allowBlank="1" showInputMessage="1" showErrorMessage="1" sqref="I115:K116" xr:uid="{00000000-0002-0000-0000-000000000000}">
      <formula1>$Q$119:$Q$123</formula1>
    </dataValidation>
  </dataValidations>
  <pageMargins left="0.7" right="0.7" top="0.78740157499999996" bottom="0.78740157499999996" header="0.3" footer="0.3"/>
  <pageSetup paperSize="9" orientation="portrait" r:id="rId1"/>
  <ignoredErrors>
    <ignoredError sqref="D134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Wenig</dc:creator>
  <cp:lastModifiedBy>Robert Wenig</cp:lastModifiedBy>
  <dcterms:created xsi:type="dcterms:W3CDTF">2022-02-20T17:26:41Z</dcterms:created>
  <dcterms:modified xsi:type="dcterms:W3CDTF">2022-12-09T20:28:39Z</dcterms:modified>
</cp:coreProperties>
</file>